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1"/>
  <workbookPr codeName="ThisWorkbook"/>
  <mc:AlternateContent xmlns:mc="http://schemas.openxmlformats.org/markup-compatibility/2006">
    <mc:Choice Requires="x15">
      <x15ac:absPath xmlns:x15ac="http://schemas.microsoft.com/office/spreadsheetml/2010/11/ac" url="/Users/devendra/Downloads/Website Hosting/List of Annexures/"/>
    </mc:Choice>
  </mc:AlternateContent>
  <xr:revisionPtr revIDLastSave="0" documentId="13_ncr:1_{43199BD3-7C0C-844B-9F77-C004ADE2633A}" xr6:coauthVersionLast="36" xr6:coauthVersionMax="36" xr10:uidLastSave="{00000000-0000-0000-0000-000000000000}"/>
  <bookViews>
    <workbookView xWindow="0" yWindow="460" windowWidth="28800" windowHeight="16800" tabRatio="897" firstSheet="19" activeTab="31" xr2:uid="{00000000-000D-0000-FFFF-FFFF00000000}"/>
  </bookViews>
  <sheets>
    <sheet name="Index" sheetId="44" r:id="rId1"/>
    <sheet name="F1 " sheetId="2" r:id="rId2"/>
    <sheet name="F2" sheetId="65" r:id="rId3"/>
    <sheet name="F2.1 " sheetId="61" r:id="rId4"/>
    <sheet name="F2.2" sheetId="66" r:id="rId5"/>
    <sheet name="F2.3" sheetId="67" r:id="rId6"/>
    <sheet name="F2.4" sheetId="68" r:id="rId7"/>
    <sheet name="F2.5" sheetId="69" r:id="rId8"/>
    <sheet name="F3" sheetId="91" r:id="rId9"/>
    <sheet name="F3.1" sheetId="72" r:id="rId10"/>
    <sheet name="F3.2" sheetId="73" r:id="rId11"/>
    <sheet name="F3.3" sheetId="74" r:id="rId12"/>
    <sheet name="F4" sheetId="64" r:id="rId13"/>
    <sheet name="F5" sheetId="58" r:id="rId14"/>
    <sheet name="F6" sheetId="77" r:id="rId15"/>
    <sheet name="F7" sheetId="3" r:id="rId16"/>
    <sheet name="F8" sheetId="14" r:id="rId17"/>
    <sheet name="F9" sheetId="78" r:id="rId18"/>
    <sheet name="F10" sheetId="76" r:id="rId19"/>
    <sheet name="F11" sheetId="90" r:id="rId20"/>
    <sheet name="F12" sheetId="94" r:id="rId21"/>
    <sheet name="F13" sheetId="79" r:id="rId22"/>
    <sheet name="F14.1" sheetId="80" state="hidden" r:id="rId23"/>
    <sheet name="F14.2" sheetId="81" state="hidden" r:id="rId24"/>
    <sheet name="F14.3" sheetId="82" state="hidden" r:id="rId25"/>
    <sheet name="F14.4" sheetId="83" state="hidden" r:id="rId26"/>
    <sheet name="F14.5" sheetId="84" state="hidden" r:id="rId27"/>
    <sheet name="F14.6" sheetId="85" state="hidden" r:id="rId28"/>
    <sheet name="F 14.7" sheetId="86" state="hidden" r:id="rId29"/>
    <sheet name="F14.8" sheetId="87" state="hidden" r:id="rId30"/>
    <sheet name="F14.9" sheetId="88" state="hidden" r:id="rId31"/>
    <sheet name="F15" sheetId="106" r:id="rId32"/>
    <sheet name="Revenue" sheetId="102" state="hidden" r:id="rId33"/>
    <sheet name="Capitalisaiton" sheetId="105" state="hidden" r:id="rId34"/>
    <sheet name="Refinancing" sheetId="96" state="hidden" r:id="rId35"/>
    <sheet name="Rate-W.cap" sheetId="97" state="hidden" r:id="rId36"/>
    <sheet name="G Sec Investment" sheetId="98" state="hidden" r:id="rId37"/>
    <sheet name="DPC" sheetId="103" state="hidden" r:id="rId38"/>
    <sheet name="Gap" sheetId="104" state="hidden" r:id="rId39"/>
    <sheet name="Income Tax" sheetId="99" state="hidden" r:id="rId40"/>
    <sheet name="Incentive" sheetId="100" state="hidden" r:id="rId41"/>
    <sheet name="Sharing" sheetId="101" state="hidden"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 localSheetId="31">#REF!</definedName>
    <definedName name="_">#REF!</definedName>
    <definedName name="_________XL__ENTER_UNIT" localSheetId="31">#REF!</definedName>
    <definedName name="_________XL__ENTER_UNIT">#REF!</definedName>
    <definedName name="_______SCH6" localSheetId="31">'[1]04REL'!#REF!</definedName>
    <definedName name="_______SCH6">'[1]04REL'!#REF!</definedName>
    <definedName name="_______XL__ENTER_UNIT" localSheetId="31">#REF!</definedName>
    <definedName name="_______XL__ENTER_UNIT">#REF!</definedName>
    <definedName name="______SCH6" localSheetId="31">'[1]04REL'!#REF!</definedName>
    <definedName name="______SCH6">'[1]04REL'!#REF!</definedName>
    <definedName name="______XL__ENTER_UNIT" localSheetId="31">#REF!</definedName>
    <definedName name="______XL__ENTER_UNIT">#REF!</definedName>
    <definedName name="_____SCH6" localSheetId="31">'[1]04REL'!#REF!</definedName>
    <definedName name="_____SCH6">'[1]04REL'!#REF!</definedName>
    <definedName name="____SCH6" localSheetId="31">'[1]04REL'!#REF!</definedName>
    <definedName name="____SCH6">'[1]04REL'!#REF!</definedName>
    <definedName name="____XL__ENTER_UNIT" localSheetId="31">#REF!</definedName>
    <definedName name="____XL__ENTER_UNIT">#REF!</definedName>
    <definedName name="___INDEX_SHEET___ASAP_Utilities" localSheetId="31">#REF!</definedName>
    <definedName name="___INDEX_SHEET___ASAP_Utilities">#REF!</definedName>
    <definedName name="___SCH6" localSheetId="31">'[1]04REL'!#REF!</definedName>
    <definedName name="___SCH6">'[1]04REL'!#REF!</definedName>
    <definedName name="___XL__ENTER_UNIT" localSheetId="31">#REF!</definedName>
    <definedName name="___XL__ENTER_UNIT">#REF!</definedName>
    <definedName name="__123Graph_A" localSheetId="19" hidden="1">[2]CE!#REF!</definedName>
    <definedName name="__123Graph_A" localSheetId="20" hidden="1">[2]CE!#REF!</definedName>
    <definedName name="__123Graph_A" localSheetId="31" hidden="1">[2]CE!#REF!</definedName>
    <definedName name="__123Graph_A" localSheetId="8" hidden="1">[2]CE!#REF!</definedName>
    <definedName name="__123Graph_A" localSheetId="36" hidden="1">[2]CE!#REF!</definedName>
    <definedName name="__123Graph_A" localSheetId="40" hidden="1">[2]CE!#REF!</definedName>
    <definedName name="__123Graph_A" localSheetId="39" hidden="1">[2]CE!#REF!</definedName>
    <definedName name="__123Graph_A" localSheetId="34" hidden="1">[2]CE!#REF!</definedName>
    <definedName name="__123Graph_A" hidden="1">[2]CE!#REF!</definedName>
    <definedName name="__123Graph_ASTNPLF" localSheetId="19" hidden="1">[2]CE!#REF!</definedName>
    <definedName name="__123Graph_ASTNPLF" localSheetId="20" hidden="1">[2]CE!#REF!</definedName>
    <definedName name="__123Graph_ASTNPLF" localSheetId="31" hidden="1">[2]CE!#REF!</definedName>
    <definedName name="__123Graph_ASTNPLF" localSheetId="8" hidden="1">[2]CE!#REF!</definedName>
    <definedName name="__123Graph_ASTNPLF" localSheetId="36" hidden="1">[2]CE!#REF!</definedName>
    <definedName name="__123Graph_ASTNPLF" localSheetId="40" hidden="1">[2]CE!#REF!</definedName>
    <definedName name="__123Graph_ASTNPLF" localSheetId="39" hidden="1">[2]CE!#REF!</definedName>
    <definedName name="__123Graph_ASTNPLF" localSheetId="34" hidden="1">[2]CE!#REF!</definedName>
    <definedName name="__123Graph_ASTNPLF" hidden="1">[2]CE!#REF!</definedName>
    <definedName name="__123Graph_B" localSheetId="19" hidden="1">[2]CE!#REF!</definedName>
    <definedName name="__123Graph_B" localSheetId="20" hidden="1">[2]CE!#REF!</definedName>
    <definedName name="__123Graph_B" localSheetId="31" hidden="1">[2]CE!#REF!</definedName>
    <definedName name="__123Graph_B" localSheetId="8" hidden="1">[2]CE!#REF!</definedName>
    <definedName name="__123Graph_B" localSheetId="36" hidden="1">[2]CE!#REF!</definedName>
    <definedName name="__123Graph_B" localSheetId="40" hidden="1">[2]CE!#REF!</definedName>
    <definedName name="__123Graph_B" localSheetId="39" hidden="1">[2]CE!#REF!</definedName>
    <definedName name="__123Graph_B" localSheetId="34" hidden="1">[2]CE!#REF!</definedName>
    <definedName name="__123Graph_B" hidden="1">[2]CE!#REF!</definedName>
    <definedName name="__123Graph_BSTNPLF" localSheetId="19" hidden="1">[2]CE!#REF!</definedName>
    <definedName name="__123Graph_BSTNPLF" localSheetId="20" hidden="1">[2]CE!#REF!</definedName>
    <definedName name="__123Graph_BSTNPLF" localSheetId="31" hidden="1">[2]CE!#REF!</definedName>
    <definedName name="__123Graph_BSTNPLF" localSheetId="8" hidden="1">[2]CE!#REF!</definedName>
    <definedName name="__123Graph_BSTNPLF" localSheetId="36" hidden="1">[2]CE!#REF!</definedName>
    <definedName name="__123Graph_BSTNPLF" localSheetId="40" hidden="1">[2]CE!#REF!</definedName>
    <definedName name="__123Graph_BSTNPLF" localSheetId="39" hidden="1">[2]CE!#REF!</definedName>
    <definedName name="__123Graph_BSTNPLF" localSheetId="34" hidden="1">[2]CE!#REF!</definedName>
    <definedName name="__123Graph_BSTNPLF" hidden="1">[2]CE!#REF!</definedName>
    <definedName name="__123Graph_C" localSheetId="19" hidden="1">[2]CE!#REF!</definedName>
    <definedName name="__123Graph_C" localSheetId="20" hidden="1">[2]CE!#REF!</definedName>
    <definedName name="__123Graph_C" localSheetId="31" hidden="1">[2]CE!#REF!</definedName>
    <definedName name="__123Graph_C" localSheetId="8" hidden="1">[2]CE!#REF!</definedName>
    <definedName name="__123Graph_C" localSheetId="36" hidden="1">[2]CE!#REF!</definedName>
    <definedName name="__123Graph_C" localSheetId="40" hidden="1">[2]CE!#REF!</definedName>
    <definedName name="__123Graph_C" localSheetId="39" hidden="1">[2]CE!#REF!</definedName>
    <definedName name="__123Graph_C" localSheetId="34" hidden="1">[2]CE!#REF!</definedName>
    <definedName name="__123Graph_C" hidden="1">[2]CE!#REF!</definedName>
    <definedName name="__123Graph_CSTNPLF" localSheetId="19" hidden="1">[2]CE!#REF!</definedName>
    <definedName name="__123Graph_CSTNPLF" localSheetId="20" hidden="1">[2]CE!#REF!</definedName>
    <definedName name="__123Graph_CSTNPLF" localSheetId="31" hidden="1">[2]CE!#REF!</definedName>
    <definedName name="__123Graph_CSTNPLF" localSheetId="8" hidden="1">[2]CE!#REF!</definedName>
    <definedName name="__123Graph_CSTNPLF" localSheetId="36" hidden="1">[2]CE!#REF!</definedName>
    <definedName name="__123Graph_CSTNPLF" localSheetId="40" hidden="1">[2]CE!#REF!</definedName>
    <definedName name="__123Graph_CSTNPLF" localSheetId="39" hidden="1">[2]CE!#REF!</definedName>
    <definedName name="__123Graph_CSTNPLF" localSheetId="34" hidden="1">[2]CE!#REF!</definedName>
    <definedName name="__123Graph_CSTNPLF" hidden="1">[2]CE!#REF!</definedName>
    <definedName name="__123Graph_X" localSheetId="19" hidden="1">[2]CE!#REF!</definedName>
    <definedName name="__123Graph_X" localSheetId="20" hidden="1">[2]CE!#REF!</definedName>
    <definedName name="__123Graph_X" localSheetId="31" hidden="1">[2]CE!#REF!</definedName>
    <definedName name="__123Graph_X" localSheetId="8" hidden="1">[2]CE!#REF!</definedName>
    <definedName name="__123Graph_X" localSheetId="36" hidden="1">[2]CE!#REF!</definedName>
    <definedName name="__123Graph_X" localSheetId="40" hidden="1">[2]CE!#REF!</definedName>
    <definedName name="__123Graph_X" localSheetId="39" hidden="1">[2]CE!#REF!</definedName>
    <definedName name="__123Graph_X" localSheetId="34" hidden="1">[2]CE!#REF!</definedName>
    <definedName name="__123Graph_X" hidden="1">[2]CE!#REF!</definedName>
    <definedName name="__123Graph_XSTNPLF" localSheetId="19" hidden="1">[2]CE!#REF!</definedName>
    <definedName name="__123Graph_XSTNPLF" localSheetId="20" hidden="1">[2]CE!#REF!</definedName>
    <definedName name="__123Graph_XSTNPLF" localSheetId="31" hidden="1">[2]CE!#REF!</definedName>
    <definedName name="__123Graph_XSTNPLF" localSheetId="8" hidden="1">[2]CE!#REF!</definedName>
    <definedName name="__123Graph_XSTNPLF" localSheetId="36" hidden="1">[2]CE!#REF!</definedName>
    <definedName name="__123Graph_XSTNPLF" localSheetId="40" hidden="1">[2]CE!#REF!</definedName>
    <definedName name="__123Graph_XSTNPLF" localSheetId="39" hidden="1">[2]CE!#REF!</definedName>
    <definedName name="__123Graph_XSTNPLF" localSheetId="34" hidden="1">[2]CE!#REF!</definedName>
    <definedName name="__123Graph_XSTNPLF" hidden="1">[2]CE!#REF!</definedName>
    <definedName name="__DOWN_10__GOTO" localSheetId="31">#REF!</definedName>
    <definedName name="__DOWN_10__GOTO">#REF!</definedName>
    <definedName name="__ES84__EW84_0." localSheetId="31">#REF!</definedName>
    <definedName name="__ES84__EW84_0.">#REF!</definedName>
    <definedName name="__GOTO_EP84__AV" localSheetId="31">#REF!</definedName>
    <definedName name="__GOTO_EP84__AV">#REF!</definedName>
    <definedName name="__SCH6" localSheetId="31">'[1]04REL'!#REF!</definedName>
    <definedName name="__SCH6">'[1]04REL'!#REF!</definedName>
    <definedName name="__SUM_CS57..CS6" localSheetId="31">#REF!</definedName>
    <definedName name="__SUM_CS57..CS6">#REF!</definedName>
    <definedName name="__SUM_CS65..CS7" localSheetId="31">#REF!</definedName>
    <definedName name="__SUM_CS65..CS7">#REF!</definedName>
    <definedName name="__SUM_FQ20..FQ2" localSheetId="31">#REF!</definedName>
    <definedName name="__SUM_FQ20..FQ2">#REF!</definedName>
    <definedName name="__SUM_FQ28..FQ3" localSheetId="31">#REF!</definedName>
    <definedName name="__SUM_FQ28..FQ3">#REF!</definedName>
    <definedName name="__XL__ENTER_UNIT" localSheetId="31">#REF!</definedName>
    <definedName name="__XL__ENTER_UNIT">#REF!</definedName>
    <definedName name="_.._D__D__D__D_" localSheetId="31">#REF!</definedName>
    <definedName name="_.._D__D__D__D_">#REF!</definedName>
    <definedName name="_5" localSheetId="31">#REF!</definedName>
    <definedName name="_5">#REF!</definedName>
    <definedName name="_6" localSheetId="31">#REF!</definedName>
    <definedName name="_6">#REF!</definedName>
    <definedName name="_D___GOTO_GK112" localSheetId="31">#REF!</definedName>
    <definedName name="_D___GOTO_GK112">#REF!</definedName>
    <definedName name="_D___GOTO_GK56_" localSheetId="31">#REF!</definedName>
    <definedName name="_D___GOTO_GK56_">#REF!</definedName>
    <definedName name="_D__D___L___GOT" localSheetId="31">#REF!</definedName>
    <definedName name="_D__D___L___GOT">#REF!</definedName>
    <definedName name="_D__D__D___D__D" localSheetId="31">#REF!</definedName>
    <definedName name="_D__D__D___D__D">#REF!</definedName>
    <definedName name="_D_19__U_19_" localSheetId="31">#REF!</definedName>
    <definedName name="_D_19__U_19_">#REF!</definedName>
    <definedName name="_DOWN_9__RIGHT_" localSheetId="31">#REF!</definedName>
    <definedName name="_DOWN_9__RIGHT_">#REF!</definedName>
    <definedName name="_Fill" localSheetId="19" hidden="1">#REF!</definedName>
    <definedName name="_Fill" localSheetId="20" hidden="1">#REF!</definedName>
    <definedName name="_Fill" localSheetId="31" hidden="1">#REF!</definedName>
    <definedName name="_Fill" localSheetId="8" hidden="1">#REF!</definedName>
    <definedName name="_Fill" localSheetId="36" hidden="1">#REF!</definedName>
    <definedName name="_Fill" localSheetId="40" hidden="1">#REF!</definedName>
    <definedName name="_Fill" localSheetId="39" hidden="1">#REF!</definedName>
    <definedName name="_Fill" localSheetId="34" hidden="1">#REF!</definedName>
    <definedName name="_Fill" hidden="1">#REF!</definedName>
    <definedName name="_xlnm._FilterDatabase" localSheetId="25" hidden="1">'F14.4'!$C$1:$C$60</definedName>
    <definedName name="_FROM__R__R__08" localSheetId="31">#REF!</definedName>
    <definedName name="_FROM__R__R__08">#REF!</definedName>
    <definedName name="_FROM__R__R__16" localSheetId="31">#REF!</definedName>
    <definedName name="_FROM__R__R__16">#REF!</definedName>
    <definedName name="_GENERATION__R_" localSheetId="31">#REF!</definedName>
    <definedName name="_GENERATION__R_">#REF!</definedName>
    <definedName name="_GOTO_BT49__R__" localSheetId="31">#REF!</definedName>
    <definedName name="_GOTO_BT49__R__">#REF!</definedName>
    <definedName name="_GOTO_CF11__?__" localSheetId="31">#REF!</definedName>
    <definedName name="_GOTO_CF11__?__">#REF!</definedName>
    <definedName name="_GOTO_EO75__WEK" localSheetId="31">#REF!</definedName>
    <definedName name="_GOTO_EO75__WEK">#REF!</definedName>
    <definedName name="_GOTO_EP82__PEA" localSheetId="31">#REF!</definedName>
    <definedName name="_GOTO_EP82__PEA">#REF!</definedName>
    <definedName name="_GOTO_EP86__PER" localSheetId="31">#REF!</definedName>
    <definedName name="_GOTO_EP86__PER">#REF!</definedName>
    <definedName name="_GOTO_FO112__RV" localSheetId="31">#REF!</definedName>
    <definedName name="_GOTO_FO112__RV">#REF!</definedName>
    <definedName name="_GOTO_FO56__RV_" localSheetId="31">#REF!</definedName>
    <definedName name="_GOTO_FO56__RV_">#REF!</definedName>
    <definedName name="_HOME__GOTO_M14" localSheetId="31">#REF!</definedName>
    <definedName name="_HOME__GOTO_M14">#REF!</definedName>
    <definedName name="_Order1" hidden="1">255</definedName>
    <definedName name="_PLF__R__R___ES" localSheetId="31">#REF!</definedName>
    <definedName name="_PLF__R__R___ES">#REF!</definedName>
    <definedName name="_RV_DOWN_6__LEF" localSheetId="31">#REF!</definedName>
    <definedName name="_RV_DOWN_6__LEF">#REF!</definedName>
    <definedName name="_SCH6" localSheetId="31">'[1]04REL'!#REF!</definedName>
    <definedName name="_SCH6">'[1]04REL'!#REF!</definedName>
    <definedName name="_SUM_DI14..DI21" localSheetId="31">#REF!</definedName>
    <definedName name="_SUM_DI14..DI21">#REF!</definedName>
    <definedName name="_SUM_DI22..DI29" localSheetId="31">#REF!</definedName>
    <definedName name="_SUM_DI22..DI29">#REF!</definedName>
    <definedName name="_U__END__U__D__" localSheetId="31">#REF!</definedName>
    <definedName name="_U__END__U__D__">#REF!</definedName>
    <definedName name="_U__U__END__U__" localSheetId="31">#REF!</definedName>
    <definedName name="_U__U__END__U__">#REF!</definedName>
    <definedName name="_U__U__U__U__U_" localSheetId="31">#REF!</definedName>
    <definedName name="_U__U__U__U__U_">#REF!</definedName>
    <definedName name="_WGPD_GOTO_CO10" localSheetId="31">#REF!</definedName>
    <definedName name="_WGPD_GOTO_CO10">#REF!</definedName>
    <definedName name="\a" localSheetId="31">#REF!</definedName>
    <definedName name="\a">#REF!</definedName>
    <definedName name="\b" localSheetId="31">#REF!</definedName>
    <definedName name="\b">#REF!</definedName>
    <definedName name="\c" localSheetId="31">#REF!</definedName>
    <definedName name="\c">#REF!</definedName>
    <definedName name="\d" localSheetId="31">#REF!</definedName>
    <definedName name="\d">#REF!</definedName>
    <definedName name="\e" localSheetId="31">#REF!</definedName>
    <definedName name="\e">#REF!</definedName>
    <definedName name="\f" localSheetId="31">#REF!</definedName>
    <definedName name="\f">#REF!</definedName>
    <definedName name="\g" localSheetId="31">#REF!</definedName>
    <definedName name="\g">#REF!</definedName>
    <definedName name="\j" localSheetId="31">#REF!</definedName>
    <definedName name="\j">#REF!</definedName>
    <definedName name="\k" localSheetId="31">#REF!</definedName>
    <definedName name="\k">#REF!</definedName>
    <definedName name="\m" localSheetId="31">#REF!</definedName>
    <definedName name="\m">#REF!</definedName>
    <definedName name="\n" localSheetId="31">#REF!</definedName>
    <definedName name="\n">#REF!</definedName>
    <definedName name="\o" localSheetId="31">#REF!</definedName>
    <definedName name="\o">#REF!</definedName>
    <definedName name="\p" localSheetId="31">#REF!</definedName>
    <definedName name="\p">#REF!</definedName>
    <definedName name="\s" localSheetId="31">#REF!</definedName>
    <definedName name="\s">#REF!</definedName>
    <definedName name="\t" localSheetId="31">#REF!</definedName>
    <definedName name="\t">#REF!</definedName>
    <definedName name="\w" localSheetId="31">#REF!</definedName>
    <definedName name="\w">#REF!</definedName>
    <definedName name="\x" localSheetId="31">#REF!</definedName>
    <definedName name="\x">#REF!</definedName>
    <definedName name="\z" localSheetId="31">#REF!</definedName>
    <definedName name="\z">#REF!</definedName>
    <definedName name="A" localSheetId="31">#REF!</definedName>
    <definedName name="A">#REF!</definedName>
    <definedName name="achscs" localSheetId="31">#REF!</definedName>
    <definedName name="achscs">#REF!</definedName>
    <definedName name="ADL.63">[3]Addl.40!$A$38:$I$284</definedName>
    <definedName name="afasfasf" localSheetId="31">#REF!</definedName>
    <definedName name="afasfasf">#REF!</definedName>
    <definedName name="ahjsdhjkdh" localSheetId="31">#REF!</definedName>
    <definedName name="ahjsdhjkdh">#REF!</definedName>
    <definedName name="asaaa" localSheetId="31">#REF!</definedName>
    <definedName name="asaaa">#REF!</definedName>
    <definedName name="atyfafa" localSheetId="31">#REF!</definedName>
    <definedName name="atyfafa">#REF!</definedName>
    <definedName name="AuBhu0910">[4]Assumption_PwC!$D$7</definedName>
    <definedName name="AuBhu1011">[4]Assumption_PwC!$E$7</definedName>
    <definedName name="AuCha0910">[4]Assumption_PwC!$D$8</definedName>
    <definedName name="AV" localSheetId="31">#REF!</definedName>
    <definedName name="AV">#REF!</definedName>
    <definedName name="bgbgb" localSheetId="31">#REF!,#REF!</definedName>
    <definedName name="bgbgb">#REF!,#REF!</definedName>
    <definedName name="C_Data_1" localSheetId="31">'[5]2000-01'!#REF!</definedName>
    <definedName name="C_Data_1">'[5]2000-01'!#REF!</definedName>
    <definedName name="C_Data_2" localSheetId="31">'[5]2000-01'!#REF!</definedName>
    <definedName name="C_Data_2">'[5]2000-01'!#REF!</definedName>
    <definedName name="CM10_C_RIGHT___" localSheetId="31">#REF!</definedName>
    <definedName name="CM10_C_RIGHT___">#REF!</definedName>
    <definedName name="CV" localSheetId="31">#REF!</definedName>
    <definedName name="CV">#REF!</definedName>
    <definedName name="D">#N/A</definedName>
    <definedName name="dadfsdf" localSheetId="31">#REF!</definedName>
    <definedName name="dadfsdf">#REF!</definedName>
    <definedName name="dafsff" localSheetId="31">#REF!</definedName>
    <definedName name="dafsff">#REF!</definedName>
    <definedName name="dargad" localSheetId="31">#REF!,#REF!</definedName>
    <definedName name="dargad">#REF!,#REF!</definedName>
    <definedName name="ddd" localSheetId="31">'[1]04REL'!#REF!</definedName>
    <definedName name="ddd">'[1]04REL'!#REF!</definedName>
    <definedName name="Debt_Pct">[6]Assumptions!$B$13</definedName>
    <definedName name="dgxgfzdg" localSheetId="31">#REF!,#REF!</definedName>
    <definedName name="dgxgfzdg">#REF!,#REF!</definedName>
    <definedName name="dpc">'[7]dpc cost'!$D$1</definedName>
    <definedName name="dsfdfADF" localSheetId="31">#REF!</definedName>
    <definedName name="dsfdfADF">#REF!</definedName>
    <definedName name="dxzxxx" localSheetId="31">#REF!,#REF!</definedName>
    <definedName name="dxzxxx">#REF!,#REF!</definedName>
    <definedName name="E_315MVA_Addl_Page1" localSheetId="31">#REF!</definedName>
    <definedName name="E_315MVA_Addl_Page1">#REF!</definedName>
    <definedName name="E_315MVA_Addl_Page2" localSheetId="31">#REF!</definedName>
    <definedName name="E_315MVA_Addl_Page2">#REF!</definedName>
    <definedName name="egtdgtgxdg" localSheetId="31">#REF!</definedName>
    <definedName name="egtdgtgxdg">#REF!</definedName>
    <definedName name="Erai_level">[8]Level_qty!$B$8:$C$528</definedName>
    <definedName name="Esc_AGExp">[9]Assumptions!$B$4</definedName>
    <definedName name="Esc_Coal">[6]Assumptions!$B$6</definedName>
    <definedName name="Esc_DomGas">[6]Assumptions!$B$8</definedName>
    <definedName name="Esc_EmpExp">[6]Assumptions!$B$3</definedName>
    <definedName name="Esc_LNGas">[6]Assumptions!$B$9</definedName>
    <definedName name="Esc_Oil">[6]Assumptions!$B$7</definedName>
    <definedName name="Esc_OtherVarCharge">[6]Assumptions!$B$10</definedName>
    <definedName name="Esc_RMExp">[9]Assumptions!$B$5</definedName>
    <definedName name="EscAGExp" localSheetId="31">#REF!</definedName>
    <definedName name="EscAGExp">#REF!</definedName>
    <definedName name="EscCoal" localSheetId="31">#REF!</definedName>
    <definedName name="EscCoal">#REF!</definedName>
    <definedName name="EscDomGas" localSheetId="31">#REF!</definedName>
    <definedName name="EscDomGas">#REF!</definedName>
    <definedName name="EscEmpExp" localSheetId="31">#REF!</definedName>
    <definedName name="EscEmpExp">#REF!</definedName>
    <definedName name="EscLNGas" localSheetId="31">#REF!</definedName>
    <definedName name="EscLNGas">#REF!</definedName>
    <definedName name="EscOil" localSheetId="31">#REF!</definedName>
    <definedName name="EscOil">#REF!</definedName>
    <definedName name="EscOtherIncome" localSheetId="31">#REF!</definedName>
    <definedName name="EscOtherIncome">#REF!</definedName>
    <definedName name="EscOtherVarCharge" localSheetId="31">#REF!</definedName>
    <definedName name="EscOtherVarCharge">#REF!</definedName>
    <definedName name="EscRMExp" localSheetId="31">#REF!</definedName>
    <definedName name="EscRMExp">#REF!</definedName>
    <definedName name="FAX" localSheetId="31">#REF!</definedName>
    <definedName name="FAX">#REF!</definedName>
    <definedName name="fdxfds" localSheetId="31">#REF!</definedName>
    <definedName name="fdxfds">#REF!</definedName>
    <definedName name="fgdgchjgd" localSheetId="31">#REF!</definedName>
    <definedName name="fgdgchjgd">#REF!</definedName>
    <definedName name="FinCharge">[6]Assumptions!$B$25</definedName>
    <definedName name="fssdzfzsdffzsdf" localSheetId="31">#REF!</definedName>
    <definedName name="fssdzfzsdffzsdf">#REF!</definedName>
    <definedName name="Fuel_Exp_CY" localSheetId="31">#REF!</definedName>
    <definedName name="Fuel_Exp_CY">#REF!</definedName>
    <definedName name="Fuel_Exp_EY" localSheetId="31">#REF!</definedName>
    <definedName name="Fuel_Exp_EY">#REF!</definedName>
    <definedName name="Fuel_Exp_PY" localSheetId="31">#REF!</definedName>
    <definedName name="Fuel_Exp_PY">#REF!</definedName>
    <definedName name="fy" localSheetId="31">#REF!</definedName>
    <definedName name="fy">#REF!</definedName>
    <definedName name="gaga" localSheetId="31">#REF!</definedName>
    <definedName name="gaga">#REF!</definedName>
    <definedName name="gahZh" localSheetId="31">#REF!</definedName>
    <definedName name="gahZh">#REF!</definedName>
    <definedName name="gajkahuah" localSheetId="31">#REF!</definedName>
    <definedName name="gajkahuah">#REF!</definedName>
    <definedName name="gasgdskhdu" localSheetId="31">#REF!,#REF!</definedName>
    <definedName name="gasgdskhdu">#REF!,#REF!</definedName>
    <definedName name="gdgfg" localSheetId="31">#REF!,#REF!</definedName>
    <definedName name="gdgfg">#REF!,#REF!</definedName>
    <definedName name="ghhfh" localSheetId="31">#REF!</definedName>
    <definedName name="ghhfh">#REF!</definedName>
    <definedName name="GR" localSheetId="31">#REF!</definedName>
    <definedName name="GR">#REF!</definedName>
    <definedName name="gshjgshgs" localSheetId="31">#REF!</definedName>
    <definedName name="gshjgshgs">#REF!</definedName>
    <definedName name="gydgdg" localSheetId="31">#REF!,#REF!</definedName>
    <definedName name="gydgdg">#REF!,#REF!</definedName>
    <definedName name="h" localSheetId="31">'[10]04REL'!#REF!</definedName>
    <definedName name="h">'[10]04REL'!#REF!</definedName>
    <definedName name="hahshuis" localSheetId="31">#REF!</definedName>
    <definedName name="hahshuis">#REF!</definedName>
    <definedName name="hasnain" localSheetId="31">#REF!</definedName>
    <definedName name="hasnain">#REF!</definedName>
    <definedName name="hdhdjh" localSheetId="31">#REF!</definedName>
    <definedName name="hdhdjh">#REF!</definedName>
    <definedName name="hgtfhdh" localSheetId="31">'[1]04REL'!#REF!</definedName>
    <definedName name="hgtfhdh">'[1]04REL'!#REF!</definedName>
    <definedName name="hhhuh" localSheetId="31">#REF!</definedName>
    <definedName name="hhhuh">#REF!</definedName>
    <definedName name="hHzhzh" localSheetId="31">#REF!</definedName>
    <definedName name="hHzhzh">#REF!</definedName>
    <definedName name="hshhxuhxu" localSheetId="31">#REF!</definedName>
    <definedName name="hshhxuhxu">#REF!</definedName>
    <definedName name="IntRate_11">[6]Assumptions!$B$11</definedName>
    <definedName name="IntRate_12">[6]Assumptions!$B$12</definedName>
    <definedName name="IntRate_WC">[4]Assumptions!$B$16</definedName>
    <definedName name="IntRate_WC10">[6]Assumptions!$B$16</definedName>
    <definedName name="IntRate_WC11">[6]Assumptions!$B$17</definedName>
    <definedName name="IntRate_WC12">[6]Assumptions!$B$18</definedName>
    <definedName name="IntRate12" localSheetId="31">#REF!</definedName>
    <definedName name="IntRate12">#REF!</definedName>
    <definedName name="IntRate13" localSheetId="31">#REF!</definedName>
    <definedName name="IntRate13">#REF!</definedName>
    <definedName name="IntRateWC11" localSheetId="31">#REF!</definedName>
    <definedName name="IntRateWC11">#REF!</definedName>
    <definedName name="IntRateWC12" localSheetId="31">#REF!</definedName>
    <definedName name="IntRateWC12">#REF!</definedName>
    <definedName name="IntRateWC13" localSheetId="31">#REF!</definedName>
    <definedName name="IntRateWC13">#REF!</definedName>
    <definedName name="Intt_Charge_cY" localSheetId="31">#REF!,#REF!</definedName>
    <definedName name="Intt_Charge_cY">#REF!,#REF!</definedName>
    <definedName name="Intt_Charge_cy_1">'[11]A 3.7'!$H$35,'[11]A 3.7'!$H$44</definedName>
    <definedName name="Intt_Charge_eY" localSheetId="31">#REF!,#REF!</definedName>
    <definedName name="Intt_Charge_eY">#REF!,#REF!</definedName>
    <definedName name="Intt_Charge_ey_1">'[11]A 3.7'!$I$35,'[11]A 3.7'!$I$44</definedName>
    <definedName name="Intt_Charge_PY" localSheetId="31">#REF!,#REF!</definedName>
    <definedName name="Intt_Charge_PY">#REF!,#REF!</definedName>
    <definedName name="Intt_Charge_py_1">'[11]A 3.7'!$G$35,'[11]A 3.7'!$G$44</definedName>
    <definedName name="IsCircular" localSheetId="31">#REF!</definedName>
    <definedName name="IsCircular">#REF!</definedName>
    <definedName name="jjkjklj" localSheetId="31">#REF!,#REF!</definedName>
    <definedName name="jjkjklj">#REF!,#REF!</definedName>
    <definedName name="jjskjsklj" localSheetId="31">#REF!</definedName>
    <definedName name="jjskjsklj">#REF!</definedName>
    <definedName name="jsjssij" localSheetId="31">#REF!</definedName>
    <definedName name="jsjssij">#REF!</definedName>
    <definedName name="K2000_">#N/A</definedName>
    <definedName name="kishor" localSheetId="31">#REF!</definedName>
    <definedName name="kishor">#REF!</definedName>
    <definedName name="kkJJ" localSheetId="31">#REF!</definedName>
    <definedName name="kkJJ">#REF!</definedName>
    <definedName name="ksokskosk" localSheetId="31">#REF!</definedName>
    <definedName name="ksokskosk">#REF!</definedName>
    <definedName name="llJkljl" localSheetId="31">#REF!</definedName>
    <definedName name="llJkljl">#REF!</definedName>
    <definedName name="LTR_M_NEW" localSheetId="31">#REF!</definedName>
    <definedName name="LTR_M_NEW">#REF!</definedName>
    <definedName name="LTR_MOR" localSheetId="31">#REF!</definedName>
    <definedName name="LTR_MOR">#REF!</definedName>
    <definedName name="new" localSheetId="19" hidden="1">[12]CE!#REF!</definedName>
    <definedName name="new" localSheetId="20" hidden="1">[12]CE!#REF!</definedName>
    <definedName name="new" localSheetId="31" hidden="1">[12]CE!#REF!</definedName>
    <definedName name="new" localSheetId="8" hidden="1">[12]CE!#REF!</definedName>
    <definedName name="new" localSheetId="36" hidden="1">[12]CE!#REF!</definedName>
    <definedName name="new" localSheetId="40" hidden="1">[12]CE!#REF!</definedName>
    <definedName name="new" localSheetId="39" hidden="1">[12]CE!#REF!</definedName>
    <definedName name="new" localSheetId="34" hidden="1">[12]CE!#REF!</definedName>
    <definedName name="new" hidden="1">[12]CE!#REF!</definedName>
    <definedName name="nnkklj" localSheetId="31">#REF!</definedName>
    <definedName name="nnkklj">#REF!</definedName>
    <definedName name="O" localSheetId="31">#REF!</definedName>
    <definedName name="O">#REF!</definedName>
    <definedName name="Olklkk" localSheetId="31">#REF!</definedName>
    <definedName name="Olklkk">#REF!</definedName>
    <definedName name="p" localSheetId="31">#REF!</definedName>
    <definedName name="p">#REF!</definedName>
    <definedName name="PAGE1" localSheetId="31">#REF!</definedName>
    <definedName name="PAGE1">#REF!</definedName>
    <definedName name="page10" localSheetId="31">#REF!</definedName>
    <definedName name="page10">#REF!</definedName>
    <definedName name="PAGE10_6" localSheetId="31">#REF!</definedName>
    <definedName name="PAGE10_6">#REF!</definedName>
    <definedName name="PAGE11_6" localSheetId="31">#REF!</definedName>
    <definedName name="PAGE11_6">#REF!</definedName>
    <definedName name="PAGE12_6" localSheetId="31">#REF!</definedName>
    <definedName name="PAGE12_6">#REF!</definedName>
    <definedName name="PAGE14" localSheetId="31">#REF!</definedName>
    <definedName name="PAGE14">#REF!</definedName>
    <definedName name="PAGE15" localSheetId="31">#REF!</definedName>
    <definedName name="PAGE15">#REF!</definedName>
    <definedName name="PAGE16" localSheetId="31">#REF!</definedName>
    <definedName name="PAGE16">#REF!</definedName>
    <definedName name="PAGE17" localSheetId="31">#REF!</definedName>
    <definedName name="PAGE17">#REF!</definedName>
    <definedName name="PAGE18" localSheetId="31">#REF!</definedName>
    <definedName name="PAGE18">#REF!</definedName>
    <definedName name="PAGE19" localSheetId="31">#REF!</definedName>
    <definedName name="PAGE19">#REF!</definedName>
    <definedName name="PAGE2" localSheetId="31">#REF!</definedName>
    <definedName name="PAGE2">#REF!</definedName>
    <definedName name="PAGE2_6" localSheetId="31">#REF!</definedName>
    <definedName name="PAGE2_6">#REF!</definedName>
    <definedName name="PAGE20" localSheetId="31">#REF!</definedName>
    <definedName name="PAGE20">#REF!</definedName>
    <definedName name="PAGE21" localSheetId="31">#REF!</definedName>
    <definedName name="PAGE21">#REF!</definedName>
    <definedName name="PAGE210" localSheetId="31">#REF!</definedName>
    <definedName name="PAGE210">#REF!</definedName>
    <definedName name="PAGE22" localSheetId="31">#REF!</definedName>
    <definedName name="PAGE22">#REF!</definedName>
    <definedName name="PAGE23" localSheetId="31">#REF!</definedName>
    <definedName name="PAGE23">#REF!</definedName>
    <definedName name="PAGE24" localSheetId="31">#REF!</definedName>
    <definedName name="PAGE24">#REF!</definedName>
    <definedName name="PAGE25" localSheetId="31">#REF!</definedName>
    <definedName name="PAGE25">#REF!</definedName>
    <definedName name="PAGE26" localSheetId="31">#REF!</definedName>
    <definedName name="PAGE26">#REF!</definedName>
    <definedName name="PAGE27" localSheetId="31">#REF!</definedName>
    <definedName name="PAGE27">#REF!</definedName>
    <definedName name="PAGE28" localSheetId="31">#REF!</definedName>
    <definedName name="PAGE28">#REF!</definedName>
    <definedName name="PAGE29" localSheetId="31">#REF!</definedName>
    <definedName name="PAGE29">#REF!</definedName>
    <definedName name="PAGE3_6" localSheetId="31">#REF!</definedName>
    <definedName name="PAGE3_6">#REF!</definedName>
    <definedName name="page34" localSheetId="31">#REF!</definedName>
    <definedName name="page34">#REF!</definedName>
    <definedName name="Page35" localSheetId="31">#REF!</definedName>
    <definedName name="Page35">#REF!</definedName>
    <definedName name="PAGE4_6" localSheetId="31">#REF!</definedName>
    <definedName name="PAGE4_6">#REF!</definedName>
    <definedName name="PAGE5_6" localSheetId="31">#REF!</definedName>
    <definedName name="PAGE5_6">#REF!</definedName>
    <definedName name="page50" localSheetId="31">#REF!</definedName>
    <definedName name="page50">#REF!</definedName>
    <definedName name="page51" localSheetId="31">#REF!</definedName>
    <definedName name="page51">#REF!</definedName>
    <definedName name="page52" localSheetId="31">#REF!</definedName>
    <definedName name="page52">#REF!</definedName>
    <definedName name="PAGE6" localSheetId="31">#REF!</definedName>
    <definedName name="PAGE6">#REF!</definedName>
    <definedName name="PAGE6_6" localSheetId="31">#REF!</definedName>
    <definedName name="PAGE6_6">#REF!</definedName>
    <definedName name="PAGE7" localSheetId="31">#REF!</definedName>
    <definedName name="PAGE7">#REF!</definedName>
    <definedName name="PAGE7_6" localSheetId="31">#REF!</definedName>
    <definedName name="PAGE7_6">#REF!</definedName>
    <definedName name="PAGE8" localSheetId="31">#REF!</definedName>
    <definedName name="PAGE8">#REF!</definedName>
    <definedName name="PAGE8_6U1A" localSheetId="31">#REF!</definedName>
    <definedName name="PAGE8_6U1A">#REF!</definedName>
    <definedName name="PAGE8_6U1B" localSheetId="31">#REF!</definedName>
    <definedName name="PAGE8_6U1B">#REF!</definedName>
    <definedName name="PAGE8_6U2A" localSheetId="31">#REF!</definedName>
    <definedName name="PAGE8_6U2A">#REF!</definedName>
    <definedName name="PAGE8_6U2B" localSheetId="31">#REF!</definedName>
    <definedName name="PAGE8_6U2B">#REF!</definedName>
    <definedName name="PAGE8_6U3A" localSheetId="31">#REF!</definedName>
    <definedName name="PAGE8_6U3A">#REF!</definedName>
    <definedName name="PAGE8_6U3B" localSheetId="31">#REF!</definedName>
    <definedName name="PAGE8_6U3B">#REF!</definedName>
    <definedName name="PAGE9" localSheetId="31">#REF!</definedName>
    <definedName name="PAGE9">#REF!</definedName>
    <definedName name="PAGE9_6" localSheetId="31">#REF!</definedName>
    <definedName name="PAGE9_6">#REF!</definedName>
    <definedName name="Pop_Ratio" localSheetId="31">#REF!</definedName>
    <definedName name="Pop_Ratio">#REF!</definedName>
    <definedName name="PRF_1" localSheetId="31">#REF!</definedName>
    <definedName name="PRF_1">#REF!</definedName>
    <definedName name="PRF_2_P1" localSheetId="31">#REF!</definedName>
    <definedName name="PRF_2_P1">#REF!</definedName>
    <definedName name="PRF_2_P2" localSheetId="31">#REF!</definedName>
    <definedName name="PRF_2_P2">#REF!</definedName>
    <definedName name="PRF_3_AN1" localSheetId="31">#REF!</definedName>
    <definedName name="PRF_3_AN1">#REF!</definedName>
    <definedName name="PRF_3_AN2" localSheetId="31">#REF!</definedName>
    <definedName name="PRF_3_AN2">#REF!</definedName>
    <definedName name="PRF_3_AN3" localSheetId="31">#REF!</definedName>
    <definedName name="PRF_3_AN3">#REF!</definedName>
    <definedName name="_xlnm.Print_Area" localSheetId="28">'F 14.7'!$B$1:$N$21</definedName>
    <definedName name="_xlnm.Print_Area" localSheetId="1">'F1 '!$B$1:$T$35</definedName>
    <definedName name="_xlnm.Print_Area" localSheetId="18">'F10'!$A$1:$Q$15</definedName>
    <definedName name="_xlnm.Print_Area" localSheetId="19">'F11'!$A$1:$S$14</definedName>
    <definedName name="_xlnm.Print_Area" localSheetId="20">'F12'!$B$1:$J$52</definedName>
    <definedName name="_xlnm.Print_Area" localSheetId="21">'F13'!$B$1:$J$68</definedName>
    <definedName name="_xlnm.Print_Area" localSheetId="23">'F14.2'!$B$1:$D$21</definedName>
    <definedName name="_xlnm.Print_Area" localSheetId="24">'F14.3'!$B$1:$L$37</definedName>
    <definedName name="_xlnm.Print_Area" localSheetId="27">'F14.6'!$B$1:$C$38</definedName>
    <definedName name="_xlnm.Print_Area" localSheetId="30">'F14.9'!$A$1:$T$44</definedName>
    <definedName name="_xlnm.Print_Area" localSheetId="31">'F15'!$A$2:$AH$55,'F15'!$A$57:$AH$107,'F15'!$A$109:$AH$159,'F15'!$A$161:$AH$185</definedName>
    <definedName name="_xlnm.Print_Area" localSheetId="2">'F2'!$B$2:$T$14,'F2'!$B$17:$I$25</definedName>
    <definedName name="_xlnm.Print_Area" localSheetId="3">'F2.1 '!$B$1:$AL$56</definedName>
    <definedName name="_xlnm.Print_Area" localSheetId="4">'F2.2'!$A$1:$M$40</definedName>
    <definedName name="_xlnm.Print_Area" localSheetId="5">'F2.3'!$B$1:$H$73</definedName>
    <definedName name="_xlnm.Print_Area" localSheetId="6">'F2.4'!$B$1:$H$40</definedName>
    <definedName name="_xlnm.Print_Area" localSheetId="7">'F2.5'!$B$1:$H$21</definedName>
    <definedName name="_xlnm.Print_Area" localSheetId="8">'F3'!$B$1:$S$14</definedName>
    <definedName name="_xlnm.Print_Area" localSheetId="9">'F3.1'!$B$2:$S$51,'F3.1'!$B$55:$K$103</definedName>
    <definedName name="_xlnm.Print_Area" localSheetId="10">'F3.2'!$A$3:$AQ$54</definedName>
    <definedName name="_xlnm.Print_Area" localSheetId="11">'F3.3'!$A$1:$O$57</definedName>
    <definedName name="_xlnm.Print_Area" localSheetId="12">'F4'!$B$4:$W$38,'F4'!$B$40:$W$66,'F4'!$B$69:$W$95</definedName>
    <definedName name="_xlnm.Print_Area" localSheetId="13">'F5'!$B$2:$Q$23,'F5'!$B$26:$R$70,'F5'!$B$73:$R$115</definedName>
    <definedName name="_xlnm.Print_Area" localSheetId="14">'F6'!$A$1:$J$45</definedName>
    <definedName name="_xlnm.Print_Area" localSheetId="15">'F7'!$A$1:$L$51</definedName>
    <definedName name="_xlnm.Print_Area" localSheetId="16">'F8'!$A$1:$S$24</definedName>
    <definedName name="_xlnm.Print_Area" localSheetId="17">'F9'!$B$2:$M$24,'F9'!$B$28:$N$97</definedName>
    <definedName name="_xlnm.Print_Area">#REF!</definedName>
    <definedName name="PRINT_AREA_MI" localSheetId="31">#REF!</definedName>
    <definedName name="PRINT_AREA_MI">#REF!</definedName>
    <definedName name="_xlnm.Print_Titles" localSheetId="1">'F1 '!$B:$D,'F1 '!$1:$5</definedName>
    <definedName name="_xlnm.Print_Titles" localSheetId="18">'F10'!$B:$C,'F10'!$2:$4</definedName>
    <definedName name="_xlnm.Print_Titles" localSheetId="19">'F11'!$B:$C,'F11'!$2:$4</definedName>
    <definedName name="_xlnm.Print_Titles" localSheetId="21">'F13'!$2:$4</definedName>
    <definedName name="_xlnm.Print_Titles" localSheetId="31">'F15'!$A:$B,'F15'!$2:$4</definedName>
    <definedName name="_xlnm.Print_Titles" localSheetId="2">'F2'!$B:$D,'F2'!$2:$4</definedName>
    <definedName name="_xlnm.Print_Titles" localSheetId="3">'F2.1 '!$B:$C,'F2.1 '!$3:$5</definedName>
    <definedName name="_xlnm.Print_Titles" localSheetId="5">'F2.3'!$2:$4</definedName>
    <definedName name="_xlnm.Print_Titles" localSheetId="8">'F3'!$B:$C,'F3'!$2:$6</definedName>
    <definedName name="_xlnm.Print_Titles" localSheetId="10">'F3.2'!$B:$C,'F3.2'!$3:$7</definedName>
    <definedName name="_xlnm.Print_Titles" localSheetId="12">'F4'!$A:$C,'F4'!$4:$6</definedName>
    <definedName name="_xlnm.Print_Titles" localSheetId="13">'F5'!$B:$C,'F5'!$2:$4</definedName>
    <definedName name="_xlnm.Print_Titles" localSheetId="16">'F8'!$B:$C,'F8'!$2:$4</definedName>
    <definedName name="q">'[13]A 3.7'!$I$35,'[13]A 3.7'!$I$44</definedName>
    <definedName name="S" localSheetId="31">#REF!</definedName>
    <definedName name="S">#REF!</definedName>
    <definedName name="sahshs" localSheetId="31">'[1]04REL'!#REF!</definedName>
    <definedName name="sahshs">'[1]04REL'!#REF!</definedName>
    <definedName name="sdsfszsfzs" localSheetId="31">#REF!,#REF!</definedName>
    <definedName name="sdsfszsfzs">#REF!,#REF!</definedName>
    <definedName name="SECOAL" localSheetId="31">#REF!</definedName>
    <definedName name="SECOAL">#REF!</definedName>
    <definedName name="SEOREP" localSheetId="31">#REF!</definedName>
    <definedName name="SEOREP">#REF!</definedName>
    <definedName name="SEREPORT" localSheetId="31">#REF!</definedName>
    <definedName name="SEREPORT">#REF!</definedName>
    <definedName name="shft1">[7]SUMMERY!$P$1</definedName>
    <definedName name="shftI">[14]SUMMERY!$P$1</definedName>
    <definedName name="shshshsh" localSheetId="31">#REF!,#REF!</definedName>
    <definedName name="shshshsh">#REF!,#REF!</definedName>
    <definedName name="t" localSheetId="31">#REF!</definedName>
    <definedName name="t">#REF!</definedName>
    <definedName name="TaxPaid10">[6]Assumptions!$B$22</definedName>
    <definedName name="TaxRate11">[6]Assumptions!$B$20</definedName>
    <definedName name="Taxrate12" localSheetId="31">#REF!</definedName>
    <definedName name="Taxrate12">#REF!</definedName>
    <definedName name="TotalRoE10">[6]Assumptions!$B$23</definedName>
    <definedName name="tripping" localSheetId="31">#REF!</definedName>
    <definedName name="tripping">#REF!</definedName>
    <definedName name="uNIT1" localSheetId="31">#REF!</definedName>
    <definedName name="uNIT1">#REF!</definedName>
    <definedName name="uNIT2" localSheetId="31">#REF!</definedName>
    <definedName name="uNIT2">#REF!</definedName>
    <definedName name="uNIT3" localSheetId="31">#REF!</definedName>
    <definedName name="uNIT3">#REF!</definedName>
    <definedName name="W" localSheetId="31">#REF!</definedName>
    <definedName name="W">#REF!</definedName>
    <definedName name="WEEK_1A" localSheetId="31">#REF!</definedName>
    <definedName name="WEEK_1A">#REF!</definedName>
    <definedName name="WEEK_1B" localSheetId="31">#REF!</definedName>
    <definedName name="WEEK_1B">#REF!</definedName>
    <definedName name="WEEK_2A" localSheetId="31">#REF!</definedName>
    <definedName name="WEEK_2A">#REF!</definedName>
    <definedName name="WEEK_2B" localSheetId="31">#REF!</definedName>
    <definedName name="WEEK_2B">#REF!</definedName>
    <definedName name="Working_capital_Rate_of_Interest_for_FY_10_11">[4]Assumption_PwC!$C$116</definedName>
    <definedName name="X1_" localSheetId="31">#REF!</definedName>
    <definedName name="X1_">#REF!</definedName>
    <definedName name="X11__?___QUIT_" localSheetId="31">#REF!</definedName>
    <definedName name="X11__?___QUIT_">#REF!</definedName>
    <definedName name="xcxcxcc" localSheetId="31">#REF!</definedName>
    <definedName name="xcxcxcc">#REF!</definedName>
    <definedName name="xcxvxv" localSheetId="31">'[1]04REL'!#REF!</definedName>
    <definedName name="xcxvxv">'[1]04REL'!#REF!</definedName>
    <definedName name="xczczczc" localSheetId="31">#REF!</definedName>
    <definedName name="xczczczc">#REF!</definedName>
    <definedName name="xczxzxz" localSheetId="31">#REF!,#REF!</definedName>
    <definedName name="xczxzxz">#REF!,#REF!</definedName>
    <definedName name="xfzdsfzsf" localSheetId="31">#REF!</definedName>
    <definedName name="xfzdsfzsf">#REF!</definedName>
    <definedName name="xxxx" localSheetId="19" hidden="1">[15]CE!#REF!</definedName>
    <definedName name="xxxx" localSheetId="20" hidden="1">[15]CE!#REF!</definedName>
    <definedName name="xxxx" localSheetId="31" hidden="1">[15]CE!#REF!</definedName>
    <definedName name="xxxx" localSheetId="8" hidden="1">[15]CE!#REF!</definedName>
    <definedName name="xxxx" localSheetId="36" hidden="1">[15]CE!#REF!</definedName>
    <definedName name="xxxx" localSheetId="40" hidden="1">[15]CE!#REF!</definedName>
    <definedName name="xxxx" localSheetId="39" hidden="1">[15]CE!#REF!</definedName>
    <definedName name="xxxx" localSheetId="34" hidden="1">[15]CE!#REF!</definedName>
    <definedName name="xxxx" hidden="1">[15]CE!#REF!</definedName>
    <definedName name="xzxzxcxc" localSheetId="31">#REF!</definedName>
    <definedName name="xzxzxcxc">#REF!</definedName>
    <definedName name="YEAR" localSheetId="31">#REF!</definedName>
    <definedName name="YEAR">#REF!</definedName>
    <definedName name="Year1" localSheetId="31">#REF!</definedName>
    <definedName name="Year1">#REF!</definedName>
    <definedName name="year2011" localSheetId="31">#REF!</definedName>
    <definedName name="year2011">#REF!</definedName>
    <definedName name="ygshjshua" localSheetId="31">#REF!</definedName>
    <definedName name="ygshjshua">#REF!</definedName>
    <definedName name="zbhh" localSheetId="31">#REF!</definedName>
    <definedName name="zbhh">#REF!</definedName>
    <definedName name="zzxxx" localSheetId="31">#REF!,#REF!</definedName>
    <definedName name="zzxxx">#REF!,#REF!</definedName>
  </definedNames>
  <calcPr calcId="181029" iterate="1" iterateCount="1000"/>
</workbook>
</file>

<file path=xl/calcChain.xml><?xml version="1.0" encoding="utf-8"?>
<calcChain xmlns="http://schemas.openxmlformats.org/spreadsheetml/2006/main">
  <c r="T13" i="65" l="1"/>
  <c r="S13" i="65"/>
  <c r="H73" i="67" l="1"/>
  <c r="G73" i="67"/>
  <c r="F73" i="67"/>
  <c r="E73" i="67"/>
  <c r="D73" i="67"/>
  <c r="G22" i="68" l="1"/>
  <c r="G10" i="68"/>
  <c r="G32" i="67"/>
  <c r="G31" i="67"/>
  <c r="G30" i="67"/>
  <c r="G29" i="67"/>
  <c r="G28" i="67"/>
  <c r="G27" i="67"/>
  <c r="G26" i="67"/>
  <c r="G25" i="67"/>
  <c r="G24" i="67"/>
  <c r="G23" i="67"/>
  <c r="G22" i="67"/>
  <c r="G21" i="67"/>
  <c r="G20" i="67"/>
  <c r="G19" i="67"/>
  <c r="G18" i="67"/>
  <c r="G17" i="67"/>
  <c r="G16" i="67"/>
  <c r="G15" i="67"/>
  <c r="G14" i="67"/>
  <c r="G13" i="67"/>
  <c r="G12" i="67"/>
  <c r="G11" i="67"/>
  <c r="G10" i="67"/>
  <c r="J30" i="2" l="1"/>
  <c r="I49" i="94" l="1"/>
  <c r="I48" i="94"/>
  <c r="I46" i="94"/>
  <c r="I45" i="94"/>
  <c r="G49" i="94"/>
  <c r="G48" i="94"/>
  <c r="G47" i="94"/>
  <c r="G46" i="94"/>
  <c r="G45" i="94"/>
  <c r="D49" i="94"/>
  <c r="J49" i="94" s="1"/>
  <c r="D48" i="94"/>
  <c r="J48" i="94" s="1"/>
  <c r="D47" i="94"/>
  <c r="D46" i="94"/>
  <c r="D45" i="94"/>
  <c r="I29" i="94"/>
  <c r="I28" i="94"/>
  <c r="I27" i="94"/>
  <c r="I23" i="94"/>
  <c r="J19" i="94"/>
  <c r="I19" i="94"/>
  <c r="I15" i="94"/>
  <c r="G29" i="94"/>
  <c r="G28" i="94"/>
  <c r="G27" i="94"/>
  <c r="G25" i="94"/>
  <c r="G24" i="94"/>
  <c r="G23" i="94"/>
  <c r="G21" i="94"/>
  <c r="G20" i="94"/>
  <c r="G19" i="94"/>
  <c r="G17" i="94"/>
  <c r="G16" i="94"/>
  <c r="G15" i="94"/>
  <c r="D29" i="94"/>
  <c r="D28" i="94"/>
  <c r="D27" i="94"/>
  <c r="D25" i="94"/>
  <c r="D24" i="94"/>
  <c r="D23" i="94"/>
  <c r="D21" i="94"/>
  <c r="D20" i="94"/>
  <c r="D19" i="94"/>
  <c r="D17" i="94"/>
  <c r="D16" i="94"/>
  <c r="D15" i="94"/>
  <c r="H46" i="94" l="1"/>
  <c r="H45" i="94"/>
  <c r="D51" i="94"/>
  <c r="H48" i="94"/>
  <c r="J46" i="94"/>
  <c r="H49" i="94"/>
  <c r="H23" i="94"/>
  <c r="J45" i="94"/>
  <c r="D33" i="94"/>
  <c r="H15" i="94"/>
  <c r="J23" i="94"/>
  <c r="J28" i="94"/>
  <c r="H28" i="94"/>
  <c r="H19" i="94"/>
  <c r="H29" i="94"/>
  <c r="G34" i="94"/>
  <c r="J27" i="94"/>
  <c r="J29" i="94"/>
  <c r="G51" i="94"/>
  <c r="H51" i="94" s="1"/>
  <c r="J15" i="94"/>
  <c r="G33" i="94"/>
  <c r="H27" i="94"/>
  <c r="A2" i="106"/>
  <c r="C187" i="106" l="1"/>
  <c r="C186" i="106"/>
  <c r="AF185" i="106"/>
  <c r="P185" i="106"/>
  <c r="O185" i="106"/>
  <c r="N185" i="106"/>
  <c r="M185" i="106"/>
  <c r="L185" i="106"/>
  <c r="J185" i="106"/>
  <c r="AF29" i="106"/>
  <c r="P29" i="106"/>
  <c r="O29" i="106"/>
  <c r="N29" i="106"/>
  <c r="M29" i="106"/>
  <c r="L29" i="106"/>
  <c r="J29" i="106"/>
  <c r="G29" i="106"/>
  <c r="F29" i="106"/>
  <c r="D29" i="106"/>
  <c r="E28" i="106"/>
  <c r="H28" i="106" s="1"/>
  <c r="E27" i="106"/>
  <c r="H27" i="106" s="1"/>
  <c r="E26" i="106"/>
  <c r="H26" i="106" s="1"/>
  <c r="E25" i="106"/>
  <c r="H25" i="106" s="1"/>
  <c r="E23" i="106"/>
  <c r="H23" i="106" s="1"/>
  <c r="E22" i="106"/>
  <c r="H22" i="106" s="1"/>
  <c r="E21" i="106"/>
  <c r="H21" i="106" s="1"/>
  <c r="E20" i="106"/>
  <c r="H20" i="106" s="1"/>
  <c r="E19" i="106"/>
  <c r="H19" i="106" s="1"/>
  <c r="E18" i="106"/>
  <c r="H18" i="106" s="1"/>
  <c r="I18" i="106" s="1"/>
  <c r="E17" i="106"/>
  <c r="H17" i="106" s="1"/>
  <c r="E16" i="106"/>
  <c r="H16" i="106" s="1"/>
  <c r="E15" i="106"/>
  <c r="H15" i="106" s="1"/>
  <c r="E14" i="106"/>
  <c r="H14" i="106" s="1"/>
  <c r="B135" i="106"/>
  <c r="AF159" i="106"/>
  <c r="P159" i="106"/>
  <c r="O159" i="106"/>
  <c r="N159" i="106"/>
  <c r="M159" i="106"/>
  <c r="L159" i="106"/>
  <c r="J159" i="106"/>
  <c r="G159" i="106"/>
  <c r="F159" i="106"/>
  <c r="D159" i="106"/>
  <c r="E158" i="106"/>
  <c r="H158" i="106" s="1"/>
  <c r="AE158" i="106" s="1"/>
  <c r="E157" i="106"/>
  <c r="H157" i="106" s="1"/>
  <c r="AD157" i="106" s="1"/>
  <c r="E156" i="106"/>
  <c r="H156" i="106" s="1"/>
  <c r="AC156" i="106" s="1"/>
  <c r="E155" i="106"/>
  <c r="H155" i="106" s="1"/>
  <c r="AB155" i="106" s="1"/>
  <c r="E153" i="106"/>
  <c r="H153" i="106" s="1"/>
  <c r="Z153" i="106" s="1"/>
  <c r="E152" i="106"/>
  <c r="H152" i="106" s="1"/>
  <c r="Y152" i="106" s="1"/>
  <c r="E151" i="106"/>
  <c r="H151" i="106" s="1"/>
  <c r="I151" i="106" s="1"/>
  <c r="E150" i="106"/>
  <c r="H150" i="106" s="1"/>
  <c r="W150" i="106" s="1"/>
  <c r="E149" i="106"/>
  <c r="H149" i="106" s="1"/>
  <c r="V149" i="106" s="1"/>
  <c r="E148" i="106"/>
  <c r="H148" i="106" s="1"/>
  <c r="I148" i="106" s="1"/>
  <c r="E147" i="106"/>
  <c r="H147" i="106" s="1"/>
  <c r="T147" i="106" s="1"/>
  <c r="E146" i="106"/>
  <c r="H146" i="106" s="1"/>
  <c r="S146" i="106" s="1"/>
  <c r="E145" i="106"/>
  <c r="H145" i="106" s="1"/>
  <c r="R145" i="106" s="1"/>
  <c r="K144" i="106"/>
  <c r="E144" i="106"/>
  <c r="H144" i="106" s="1"/>
  <c r="K118" i="106"/>
  <c r="C123" i="106"/>
  <c r="E123" i="106" s="1"/>
  <c r="H123" i="106" s="1"/>
  <c r="V123" i="106" s="1"/>
  <c r="C122" i="106"/>
  <c r="E122" i="106" s="1"/>
  <c r="H122" i="106" s="1"/>
  <c r="I122" i="106" s="1"/>
  <c r="C121" i="106"/>
  <c r="C120" i="106"/>
  <c r="E120" i="106" s="1"/>
  <c r="H120" i="106" s="1"/>
  <c r="S120" i="106" s="1"/>
  <c r="C119" i="106"/>
  <c r="E119" i="106" s="1"/>
  <c r="H119" i="106" s="1"/>
  <c r="C118" i="106"/>
  <c r="E118" i="106" s="1"/>
  <c r="H118" i="106" s="1"/>
  <c r="B109" i="106"/>
  <c r="AF133" i="106"/>
  <c r="P133" i="106"/>
  <c r="O133" i="106"/>
  <c r="N133" i="106"/>
  <c r="M133" i="106"/>
  <c r="L133" i="106"/>
  <c r="J133" i="106"/>
  <c r="G133" i="106"/>
  <c r="F133" i="106"/>
  <c r="D133" i="106"/>
  <c r="E132" i="106"/>
  <c r="H132" i="106" s="1"/>
  <c r="AE132" i="106" s="1"/>
  <c r="E131" i="106"/>
  <c r="H131" i="106" s="1"/>
  <c r="AD131" i="106" s="1"/>
  <c r="E130" i="106"/>
  <c r="H130" i="106" s="1"/>
  <c r="AC130" i="106" s="1"/>
  <c r="E129" i="106"/>
  <c r="H129" i="106" s="1"/>
  <c r="AB129" i="106" s="1"/>
  <c r="E128" i="106"/>
  <c r="H128" i="106" s="1"/>
  <c r="AA128" i="106" s="1"/>
  <c r="E127" i="106"/>
  <c r="H127" i="106" s="1"/>
  <c r="Z127" i="106" s="1"/>
  <c r="E126" i="106"/>
  <c r="H126" i="106" s="1"/>
  <c r="Y126" i="106" s="1"/>
  <c r="E125" i="106"/>
  <c r="H125" i="106" s="1"/>
  <c r="X125" i="106" s="1"/>
  <c r="E124" i="106"/>
  <c r="H124" i="106" s="1"/>
  <c r="W124" i="106" s="1"/>
  <c r="E121" i="106"/>
  <c r="H121" i="106" s="1"/>
  <c r="I121" i="106" s="1"/>
  <c r="AA121" i="106" s="1"/>
  <c r="C99" i="106"/>
  <c r="E99" i="106" s="1"/>
  <c r="H99" i="106" s="1"/>
  <c r="X99" i="106" s="1"/>
  <c r="C98" i="106"/>
  <c r="E98" i="106" s="1"/>
  <c r="H98" i="106" s="1"/>
  <c r="W98" i="106" s="1"/>
  <c r="C97" i="106"/>
  <c r="E97" i="106" s="1"/>
  <c r="C96" i="106"/>
  <c r="E96" i="106" s="1"/>
  <c r="H96" i="106" s="1"/>
  <c r="C95" i="106"/>
  <c r="C94" i="106"/>
  <c r="E94" i="106" s="1"/>
  <c r="H94" i="106" s="1"/>
  <c r="S94" i="106" s="1"/>
  <c r="C93" i="106"/>
  <c r="E93" i="106" s="1"/>
  <c r="H93" i="106" s="1"/>
  <c r="S93" i="106" s="1"/>
  <c r="C92" i="106"/>
  <c r="E95" i="106"/>
  <c r="H95" i="106" s="1"/>
  <c r="I95" i="106" s="1"/>
  <c r="U95" i="106" s="1"/>
  <c r="K92" i="106"/>
  <c r="B83" i="106"/>
  <c r="AF107" i="106"/>
  <c r="P107" i="106"/>
  <c r="O107" i="106"/>
  <c r="N107" i="106"/>
  <c r="M107" i="106"/>
  <c r="L107" i="106"/>
  <c r="J107" i="106"/>
  <c r="G107" i="106"/>
  <c r="F107" i="106"/>
  <c r="D107" i="106"/>
  <c r="D71" i="106"/>
  <c r="E71" i="106" s="1"/>
  <c r="H71" i="106" s="1"/>
  <c r="I71" i="106" s="1"/>
  <c r="K66" i="106"/>
  <c r="D74" i="106"/>
  <c r="C73" i="106"/>
  <c r="E73" i="106" s="1"/>
  <c r="H73" i="106" s="1"/>
  <c r="X73" i="106" s="1"/>
  <c r="C72" i="106"/>
  <c r="C70" i="106"/>
  <c r="E70" i="106" s="1"/>
  <c r="H70" i="106" s="1"/>
  <c r="C69" i="106"/>
  <c r="C68" i="106"/>
  <c r="C67" i="106"/>
  <c r="E67" i="106" s="1"/>
  <c r="H67" i="106" s="1"/>
  <c r="C66" i="106"/>
  <c r="E66" i="106" s="1"/>
  <c r="B57" i="106"/>
  <c r="B31" i="106"/>
  <c r="G175" i="106" s="1"/>
  <c r="AF81" i="106"/>
  <c r="P81" i="106"/>
  <c r="O81" i="106"/>
  <c r="N81" i="106"/>
  <c r="M81" i="106"/>
  <c r="L81" i="106"/>
  <c r="J81" i="106"/>
  <c r="E68" i="106"/>
  <c r="AE53" i="106"/>
  <c r="AE52" i="106"/>
  <c r="AD52" i="106"/>
  <c r="AE51" i="106"/>
  <c r="AD51" i="106"/>
  <c r="AC51" i="106"/>
  <c r="AE50" i="106"/>
  <c r="AD50" i="106"/>
  <c r="AC50" i="106"/>
  <c r="AB50" i="106"/>
  <c r="AE49" i="106"/>
  <c r="AD49" i="106"/>
  <c r="AC49" i="106"/>
  <c r="AB49" i="106"/>
  <c r="AA49" i="106"/>
  <c r="AE45" i="106"/>
  <c r="AD45" i="106"/>
  <c r="AC45" i="106"/>
  <c r="AB45" i="106"/>
  <c r="AA45" i="106"/>
  <c r="Z45" i="106"/>
  <c r="Y45" i="106"/>
  <c r="X45" i="106"/>
  <c r="W45" i="106"/>
  <c r="AE54" i="106"/>
  <c r="AH54" i="106" s="1"/>
  <c r="AD53" i="106"/>
  <c r="AC52" i="106"/>
  <c r="AB51" i="106"/>
  <c r="AA50" i="106"/>
  <c r="AE44" i="106"/>
  <c r="AD44" i="106"/>
  <c r="AC44" i="106"/>
  <c r="AB44" i="106"/>
  <c r="AA44" i="106"/>
  <c r="Z44" i="106"/>
  <c r="Y44" i="106"/>
  <c r="X44" i="106"/>
  <c r="W44" i="106"/>
  <c r="V44" i="106"/>
  <c r="F164" i="106" l="1"/>
  <c r="U122" i="106"/>
  <c r="I165" i="106"/>
  <c r="F180" i="106"/>
  <c r="G167" i="106"/>
  <c r="C166" i="106"/>
  <c r="G183" i="106"/>
  <c r="C167" i="106"/>
  <c r="D169" i="106"/>
  <c r="I15" i="106"/>
  <c r="AC15" i="106" s="1"/>
  <c r="R15" i="106"/>
  <c r="D178" i="106"/>
  <c r="F165" i="106"/>
  <c r="F173" i="106"/>
  <c r="F181" i="106"/>
  <c r="G168" i="106"/>
  <c r="G184" i="106"/>
  <c r="I166" i="106"/>
  <c r="W20" i="106"/>
  <c r="I27" i="106"/>
  <c r="AD27" i="106"/>
  <c r="E92" i="106"/>
  <c r="H92" i="106" s="1"/>
  <c r="R92" i="106" s="1"/>
  <c r="I21" i="106"/>
  <c r="I168" i="106"/>
  <c r="I164" i="106"/>
  <c r="H169" i="106"/>
  <c r="H165" i="106"/>
  <c r="G182" i="106"/>
  <c r="G178" i="106"/>
  <c r="G174" i="106"/>
  <c r="G166" i="106"/>
  <c r="F183" i="106"/>
  <c r="F179" i="106"/>
  <c r="F175" i="106"/>
  <c r="F167" i="106"/>
  <c r="D184" i="106"/>
  <c r="D180" i="106"/>
  <c r="D168" i="106"/>
  <c r="D164" i="106"/>
  <c r="C169" i="106"/>
  <c r="C165" i="106"/>
  <c r="C164" i="106"/>
  <c r="E164" i="106" s="1"/>
  <c r="I167" i="106"/>
  <c r="H168" i="106"/>
  <c r="H164" i="106"/>
  <c r="G181" i="106"/>
  <c r="G177" i="106"/>
  <c r="G173" i="106"/>
  <c r="G169" i="106"/>
  <c r="G165" i="106"/>
  <c r="F182" i="106"/>
  <c r="F178" i="106"/>
  <c r="F174" i="106"/>
  <c r="F166" i="106"/>
  <c r="D183" i="106"/>
  <c r="D179" i="106"/>
  <c r="D167" i="106"/>
  <c r="E167" i="106" s="1"/>
  <c r="C168" i="106"/>
  <c r="X21" i="106"/>
  <c r="I26" i="106"/>
  <c r="AE26" i="106" s="1"/>
  <c r="AC26" i="106"/>
  <c r="D165" i="106"/>
  <c r="D181" i="106"/>
  <c r="F168" i="106"/>
  <c r="F176" i="106"/>
  <c r="F184" i="106"/>
  <c r="G179" i="106"/>
  <c r="H166" i="106"/>
  <c r="I169" i="106"/>
  <c r="W144" i="106"/>
  <c r="AA144" i="106"/>
  <c r="S144" i="106"/>
  <c r="D166" i="106"/>
  <c r="D182" i="106"/>
  <c r="F169" i="106"/>
  <c r="F177" i="106"/>
  <c r="G164" i="106"/>
  <c r="G180" i="106"/>
  <c r="H167" i="106"/>
  <c r="S16" i="106"/>
  <c r="I16" i="106"/>
  <c r="V19" i="106"/>
  <c r="I19" i="106"/>
  <c r="AE21" i="106"/>
  <c r="AA21" i="106"/>
  <c r="AD21" i="106"/>
  <c r="Z21" i="106"/>
  <c r="AB21" i="106"/>
  <c r="AC21" i="106"/>
  <c r="Y21" i="106"/>
  <c r="T17" i="106"/>
  <c r="I17" i="106"/>
  <c r="AE28" i="106"/>
  <c r="I28" i="106"/>
  <c r="AD15" i="106"/>
  <c r="Z15" i="106"/>
  <c r="I22" i="106"/>
  <c r="Y22" i="106"/>
  <c r="AB25" i="106"/>
  <c r="I25" i="106"/>
  <c r="AB14" i="106"/>
  <c r="X14" i="106"/>
  <c r="T14" i="106"/>
  <c r="I14" i="106"/>
  <c r="AC14" i="106"/>
  <c r="Y14" i="106"/>
  <c r="Q14" i="106"/>
  <c r="AA14" i="106"/>
  <c r="W14" i="106"/>
  <c r="S14" i="106"/>
  <c r="U14" i="106"/>
  <c r="Z14" i="106"/>
  <c r="V14" i="106"/>
  <c r="R14" i="106"/>
  <c r="AH18" i="106"/>
  <c r="AG18" i="106"/>
  <c r="I23" i="106"/>
  <c r="Z23" i="106"/>
  <c r="AE27" i="106"/>
  <c r="S15" i="106"/>
  <c r="I20" i="106"/>
  <c r="U118" i="106"/>
  <c r="AB118" i="106"/>
  <c r="Y118" i="106"/>
  <c r="T118" i="106"/>
  <c r="S118" i="106"/>
  <c r="W71" i="106"/>
  <c r="S92" i="106"/>
  <c r="AE121" i="106"/>
  <c r="S145" i="106"/>
  <c r="W121" i="106"/>
  <c r="R93" i="106"/>
  <c r="S119" i="106"/>
  <c r="R119" i="106"/>
  <c r="I70" i="106"/>
  <c r="Y70" i="106" s="1"/>
  <c r="U70" i="106"/>
  <c r="R67" i="106"/>
  <c r="I67" i="106"/>
  <c r="S67" i="106"/>
  <c r="X95" i="106"/>
  <c r="V95" i="106"/>
  <c r="W95" i="106"/>
  <c r="AE151" i="106"/>
  <c r="AA151" i="106"/>
  <c r="AD151" i="106"/>
  <c r="Z151" i="106"/>
  <c r="Y151" i="106"/>
  <c r="AC151" i="106"/>
  <c r="AB151" i="106"/>
  <c r="T121" i="106"/>
  <c r="X151" i="106"/>
  <c r="AD121" i="106"/>
  <c r="Z121" i="106"/>
  <c r="V121" i="106"/>
  <c r="AC121" i="106"/>
  <c r="Y121" i="106"/>
  <c r="U121" i="106"/>
  <c r="X121" i="106"/>
  <c r="Z144" i="106"/>
  <c r="V144" i="106"/>
  <c r="R144" i="106"/>
  <c r="AC144" i="106"/>
  <c r="Y144" i="106"/>
  <c r="U144" i="106"/>
  <c r="Q144" i="106"/>
  <c r="Q159" i="106" s="1"/>
  <c r="T144" i="106"/>
  <c r="AB144" i="106"/>
  <c r="AC118" i="106"/>
  <c r="AA118" i="106"/>
  <c r="W118" i="106"/>
  <c r="Z118" i="106"/>
  <c r="V118" i="106"/>
  <c r="R118" i="106"/>
  <c r="Q118" i="106"/>
  <c r="Q133" i="106" s="1"/>
  <c r="X118" i="106"/>
  <c r="AB121" i="106"/>
  <c r="X144" i="106"/>
  <c r="I145" i="106"/>
  <c r="I146" i="106"/>
  <c r="I157" i="106"/>
  <c r="AE157" i="106" s="1"/>
  <c r="AH148" i="106"/>
  <c r="AG148" i="106"/>
  <c r="I158" i="106"/>
  <c r="I144" i="106"/>
  <c r="I147" i="106"/>
  <c r="I155" i="106"/>
  <c r="I149" i="106"/>
  <c r="I150" i="106"/>
  <c r="I156" i="106"/>
  <c r="I152" i="106"/>
  <c r="I153" i="106"/>
  <c r="I120" i="106"/>
  <c r="H133" i="106"/>
  <c r="I118" i="106"/>
  <c r="I124" i="106"/>
  <c r="I126" i="106"/>
  <c r="I131" i="106"/>
  <c r="AE131" i="106" s="1"/>
  <c r="I127" i="106"/>
  <c r="I129" i="106"/>
  <c r="I132" i="106"/>
  <c r="I119" i="106"/>
  <c r="I125" i="106"/>
  <c r="E133" i="106"/>
  <c r="I123" i="106"/>
  <c r="I128" i="106"/>
  <c r="I130" i="106"/>
  <c r="C133" i="106"/>
  <c r="I98" i="106"/>
  <c r="I94" i="106"/>
  <c r="I96" i="106"/>
  <c r="I99" i="106"/>
  <c r="I93" i="106"/>
  <c r="H97" i="106"/>
  <c r="H68" i="106"/>
  <c r="E72" i="106"/>
  <c r="H72" i="106" s="1"/>
  <c r="G81" i="106"/>
  <c r="D81" i="106"/>
  <c r="F81" i="106"/>
  <c r="E69" i="106"/>
  <c r="H69" i="106" s="1"/>
  <c r="I69" i="106" s="1"/>
  <c r="AE69" i="106" s="1"/>
  <c r="I73" i="106"/>
  <c r="AH50" i="106"/>
  <c r="AH53" i="106"/>
  <c r="AH52" i="106"/>
  <c r="AH51" i="106"/>
  <c r="AG54" i="106"/>
  <c r="AG53" i="106"/>
  <c r="AG52" i="106"/>
  <c r="AG51" i="106"/>
  <c r="AG50" i="106"/>
  <c r="T15" i="106" l="1"/>
  <c r="V70" i="106"/>
  <c r="R133" i="106"/>
  <c r="E169" i="106"/>
  <c r="R107" i="106"/>
  <c r="E166" i="106"/>
  <c r="I174" i="106"/>
  <c r="E165" i="106"/>
  <c r="I92" i="106"/>
  <c r="T92" i="106"/>
  <c r="T95" i="106" s="1"/>
  <c r="Y95" i="106" s="1"/>
  <c r="AA15" i="106"/>
  <c r="AB15" i="106"/>
  <c r="Y15" i="106"/>
  <c r="AD26" i="106"/>
  <c r="AH26" i="106" s="1"/>
  <c r="W15" i="106"/>
  <c r="X15" i="106"/>
  <c r="U15" i="106"/>
  <c r="Z70" i="106"/>
  <c r="AE15" i="106"/>
  <c r="V15" i="106"/>
  <c r="S159" i="106"/>
  <c r="AG26" i="106"/>
  <c r="Q29" i="106"/>
  <c r="AH27" i="106"/>
  <c r="AG21" i="106"/>
  <c r="E168" i="106"/>
  <c r="AC70" i="106"/>
  <c r="Q92" i="106"/>
  <c r="Q107" i="106" s="1"/>
  <c r="R29" i="106"/>
  <c r="S29" i="106"/>
  <c r="AH21" i="106"/>
  <c r="AB23" i="106"/>
  <c r="AE23" i="106"/>
  <c r="AA23" i="106"/>
  <c r="AC23" i="106"/>
  <c r="AD23" i="106"/>
  <c r="AG28" i="106"/>
  <c r="AH28" i="106"/>
  <c r="AD17" i="106"/>
  <c r="Z17" i="106"/>
  <c r="V17" i="106"/>
  <c r="AE17" i="106"/>
  <c r="AA17" i="106"/>
  <c r="AC17" i="106"/>
  <c r="Y17" i="106"/>
  <c r="U17" i="106"/>
  <c r="W17" i="106"/>
  <c r="AB17" i="106"/>
  <c r="X17" i="106"/>
  <c r="AB20" i="106"/>
  <c r="X20" i="106"/>
  <c r="Y20" i="106"/>
  <c r="AE20" i="106"/>
  <c r="AA20" i="106"/>
  <c r="AD20" i="106"/>
  <c r="Z20" i="106"/>
  <c r="AC20" i="106"/>
  <c r="AG27" i="106"/>
  <c r="AE14" i="106"/>
  <c r="AD14" i="106"/>
  <c r="AE22" i="106"/>
  <c r="AA22" i="106"/>
  <c r="AD22" i="106"/>
  <c r="Z22" i="106"/>
  <c r="AB22" i="106"/>
  <c r="AC22" i="106"/>
  <c r="AA16" i="106"/>
  <c r="W16" i="106"/>
  <c r="X16" i="106"/>
  <c r="AD16" i="106"/>
  <c r="Z16" i="106"/>
  <c r="V16" i="106"/>
  <c r="AC16" i="106"/>
  <c r="Y16" i="106"/>
  <c r="U16" i="106"/>
  <c r="AB16" i="106"/>
  <c r="T16" i="106"/>
  <c r="AD19" i="106"/>
  <c r="Z19" i="106"/>
  <c r="AE19" i="106"/>
  <c r="AA19" i="106"/>
  <c r="W19" i="106"/>
  <c r="AC19" i="106"/>
  <c r="Y19" i="106"/>
  <c r="AB19" i="106"/>
  <c r="X19" i="106"/>
  <c r="AE25" i="106"/>
  <c r="AC25" i="106"/>
  <c r="AD25" i="106"/>
  <c r="T69" i="106"/>
  <c r="W69" i="106"/>
  <c r="AH151" i="106"/>
  <c r="I97" i="106"/>
  <c r="I175" i="106" s="1"/>
  <c r="V97" i="106"/>
  <c r="AD128" i="106"/>
  <c r="AC128" i="106"/>
  <c r="AB128" i="106"/>
  <c r="AE128" i="106"/>
  <c r="AE118" i="106"/>
  <c r="AD118" i="106"/>
  <c r="W70" i="106"/>
  <c r="AE70" i="106"/>
  <c r="AD70" i="106"/>
  <c r="AA70" i="106"/>
  <c r="AC73" i="106"/>
  <c r="Y73" i="106"/>
  <c r="AB73" i="106"/>
  <c r="AA73" i="106"/>
  <c r="AE73" i="106"/>
  <c r="AD73" i="106"/>
  <c r="Z73" i="106"/>
  <c r="AB70" i="106"/>
  <c r="AB93" i="106"/>
  <c r="X93" i="106"/>
  <c r="T93" i="106"/>
  <c r="AA93" i="106"/>
  <c r="V93" i="106"/>
  <c r="AD93" i="106"/>
  <c r="Y93" i="106"/>
  <c r="AE93" i="106"/>
  <c r="Z93" i="106"/>
  <c r="U93" i="106"/>
  <c r="AC93" i="106"/>
  <c r="W93" i="106"/>
  <c r="AE94" i="106"/>
  <c r="AA94" i="106"/>
  <c r="W94" i="106"/>
  <c r="AD94" i="106"/>
  <c r="Y94" i="106"/>
  <c r="T94" i="106"/>
  <c r="AB94" i="106"/>
  <c r="V94" i="106"/>
  <c r="AC94" i="106"/>
  <c r="X94" i="106"/>
  <c r="Z94" i="106"/>
  <c r="U94" i="106"/>
  <c r="AC126" i="106"/>
  <c r="AB126" i="106"/>
  <c r="AA126" i="106"/>
  <c r="AE126" i="106"/>
  <c r="Z126" i="106"/>
  <c r="AD126" i="106"/>
  <c r="AG151" i="106"/>
  <c r="AC155" i="106"/>
  <c r="AE155" i="106"/>
  <c r="AD155" i="106"/>
  <c r="AD67" i="106"/>
  <c r="Z67" i="106"/>
  <c r="V67" i="106"/>
  <c r="AA67" i="106"/>
  <c r="U67" i="106"/>
  <c r="AE67" i="106"/>
  <c r="Y67" i="106"/>
  <c r="T67" i="106"/>
  <c r="X67" i="106"/>
  <c r="AC67" i="106"/>
  <c r="W67" i="106"/>
  <c r="AB67" i="106"/>
  <c r="S68" i="106"/>
  <c r="I68" i="106"/>
  <c r="Z99" i="106"/>
  <c r="AA99" i="106"/>
  <c r="AB99" i="106"/>
  <c r="Y99" i="106"/>
  <c r="Y98" i="106"/>
  <c r="AA98" i="106"/>
  <c r="X98" i="106"/>
  <c r="Z98" i="106"/>
  <c r="AB119" i="106"/>
  <c r="X119" i="106"/>
  <c r="T119" i="106"/>
  <c r="AE119" i="106"/>
  <c r="AA119" i="106"/>
  <c r="W119" i="106"/>
  <c r="AC119" i="106"/>
  <c r="U119" i="106"/>
  <c r="Y119" i="106"/>
  <c r="Z119" i="106"/>
  <c r="AD119" i="106"/>
  <c r="V119" i="106"/>
  <c r="AE127" i="106"/>
  <c r="AA127" i="106"/>
  <c r="AD127" i="106"/>
  <c r="AC127" i="106"/>
  <c r="AB127" i="106"/>
  <c r="AB152" i="106"/>
  <c r="AE152" i="106"/>
  <c r="AA152" i="106"/>
  <c r="Z152" i="106"/>
  <c r="AD152" i="106"/>
  <c r="AC152" i="106"/>
  <c r="AE150" i="106"/>
  <c r="AA150" i="106"/>
  <c r="AD150" i="106"/>
  <c r="Z150" i="106"/>
  <c r="Y150" i="106"/>
  <c r="AC150" i="106"/>
  <c r="X150" i="106"/>
  <c r="AB150" i="106"/>
  <c r="AC146" i="106"/>
  <c r="Y146" i="106"/>
  <c r="U146" i="106"/>
  <c r="AB146" i="106"/>
  <c r="X146" i="106"/>
  <c r="T146" i="106"/>
  <c r="W146" i="106"/>
  <c r="AA146" i="106"/>
  <c r="AD146" i="106"/>
  <c r="V146" i="106"/>
  <c r="Z146" i="106"/>
  <c r="Y96" i="106"/>
  <c r="Y174" i="106" s="1"/>
  <c r="V96" i="106"/>
  <c r="V174" i="106" s="1"/>
  <c r="W96" i="106"/>
  <c r="X96" i="106"/>
  <c r="AC123" i="106"/>
  <c r="Y123" i="106"/>
  <c r="AB123" i="106"/>
  <c r="X123" i="106"/>
  <c r="AA123" i="106"/>
  <c r="AE123" i="106"/>
  <c r="W123" i="106"/>
  <c r="Z123" i="106"/>
  <c r="AD123" i="106"/>
  <c r="AB149" i="106"/>
  <c r="X149" i="106"/>
  <c r="AE149" i="106"/>
  <c r="AA149" i="106"/>
  <c r="W149" i="106"/>
  <c r="Z149" i="106"/>
  <c r="AD149" i="106"/>
  <c r="Y149" i="106"/>
  <c r="AC149" i="106"/>
  <c r="AD145" i="106"/>
  <c r="Z145" i="106"/>
  <c r="V145" i="106"/>
  <c r="AC145" i="106"/>
  <c r="Y145" i="106"/>
  <c r="U145" i="106"/>
  <c r="AB145" i="106"/>
  <c r="T145" i="106"/>
  <c r="X145" i="106"/>
  <c r="AA145" i="106"/>
  <c r="AE145" i="106"/>
  <c r="W145" i="106"/>
  <c r="AB69" i="106"/>
  <c r="Y69" i="106"/>
  <c r="V69" i="106"/>
  <c r="AD69" i="106"/>
  <c r="U69" i="106"/>
  <c r="Z69" i="106"/>
  <c r="AC69" i="106"/>
  <c r="W72" i="106"/>
  <c r="I72" i="106"/>
  <c r="X70" i="106"/>
  <c r="X174" i="106" s="1"/>
  <c r="X69" i="106"/>
  <c r="AA69" i="106"/>
  <c r="AE130" i="106"/>
  <c r="AD130" i="106"/>
  <c r="AB125" i="106"/>
  <c r="AE125" i="106"/>
  <c r="AA125" i="106"/>
  <c r="Z125" i="106"/>
  <c r="AD125" i="106"/>
  <c r="Y125" i="106"/>
  <c r="AC125" i="106"/>
  <c r="AD129" i="106"/>
  <c r="AC129" i="106"/>
  <c r="AE129" i="106"/>
  <c r="AB124" i="106"/>
  <c r="X124" i="106"/>
  <c r="AE124" i="106"/>
  <c r="AA124" i="106"/>
  <c r="Z124" i="106"/>
  <c r="AD124" i="106"/>
  <c r="Y124" i="106"/>
  <c r="AC124" i="106"/>
  <c r="AA120" i="106"/>
  <c r="W120" i="106"/>
  <c r="AD120" i="106"/>
  <c r="Z120" i="106"/>
  <c r="V120" i="106"/>
  <c r="AC120" i="106"/>
  <c r="U120" i="106"/>
  <c r="Y120" i="106"/>
  <c r="AB120" i="106"/>
  <c r="T120" i="106"/>
  <c r="X120" i="106"/>
  <c r="AD153" i="106"/>
  <c r="AC153" i="106"/>
  <c r="AB153" i="106"/>
  <c r="AA153" i="106"/>
  <c r="AE153" i="106"/>
  <c r="AD156" i="106"/>
  <c r="AE156" i="106"/>
  <c r="AD147" i="106"/>
  <c r="Z147" i="106"/>
  <c r="V147" i="106"/>
  <c r="AC147" i="106"/>
  <c r="Y147" i="106"/>
  <c r="U147" i="106"/>
  <c r="AB147" i="106"/>
  <c r="X147" i="106"/>
  <c r="AA147" i="106"/>
  <c r="W147" i="106"/>
  <c r="AE147" i="106"/>
  <c r="R159" i="106"/>
  <c r="AE144" i="106"/>
  <c r="AD144" i="106"/>
  <c r="AG158" i="106"/>
  <c r="AH158" i="106"/>
  <c r="AH157" i="106"/>
  <c r="AG131" i="106"/>
  <c r="I133" i="106"/>
  <c r="S133" i="106"/>
  <c r="AG132" i="106"/>
  <c r="AH132" i="106"/>
  <c r="S107" i="106"/>
  <c r="AH71" i="106"/>
  <c r="AG71" i="106"/>
  <c r="H66" i="106"/>
  <c r="AB95" i="106" l="1"/>
  <c r="AA95" i="106"/>
  <c r="AH129" i="106"/>
  <c r="Z95" i="106"/>
  <c r="AG15" i="106"/>
  <c r="AH15" i="106"/>
  <c r="W159" i="106"/>
  <c r="V29" i="106"/>
  <c r="AH156" i="106"/>
  <c r="AG130" i="106"/>
  <c r="W174" i="106"/>
  <c r="V133" i="106"/>
  <c r="T29" i="106"/>
  <c r="X29" i="106"/>
  <c r="AG23" i="106"/>
  <c r="AG22" i="106"/>
  <c r="AE95" i="106"/>
  <c r="W29" i="106"/>
  <c r="AH22" i="106"/>
  <c r="Y29" i="106"/>
  <c r="AH17" i="106"/>
  <c r="AD95" i="106"/>
  <c r="X159" i="106"/>
  <c r="V159" i="106"/>
  <c r="T159" i="106"/>
  <c r="AH152" i="106"/>
  <c r="AD98" i="106"/>
  <c r="AD99" i="106"/>
  <c r="AG67" i="106"/>
  <c r="AG25" i="106"/>
  <c r="U29" i="106"/>
  <c r="Z29" i="106"/>
  <c r="AC95" i="106"/>
  <c r="AH25" i="106"/>
  <c r="AG19" i="106"/>
  <c r="AH19" i="106"/>
  <c r="AH20" i="106"/>
  <c r="AE16" i="106"/>
  <c r="AG14" i="106"/>
  <c r="AG17" i="106"/>
  <c r="AG20" i="106"/>
  <c r="AH23" i="106"/>
  <c r="AH14" i="106"/>
  <c r="Y159" i="106"/>
  <c r="AG153" i="106"/>
  <c r="AH150" i="106"/>
  <c r="AH145" i="106"/>
  <c r="AC98" i="106"/>
  <c r="AE146" i="106"/>
  <c r="AG146" i="106" s="1"/>
  <c r="AG156" i="106"/>
  <c r="AH70" i="106"/>
  <c r="AG145" i="106"/>
  <c r="AB98" i="106"/>
  <c r="AC99" i="106"/>
  <c r="AG155" i="106"/>
  <c r="AE99" i="106"/>
  <c r="AG99" i="106" s="1"/>
  <c r="AE72" i="106"/>
  <c r="AB72" i="106"/>
  <c r="X72" i="106"/>
  <c r="AC72" i="106"/>
  <c r="Z72" i="106"/>
  <c r="AA72" i="106"/>
  <c r="AD72" i="106"/>
  <c r="Y72" i="106"/>
  <c r="AB68" i="106"/>
  <c r="Y68" i="106"/>
  <c r="AC68" i="106"/>
  <c r="U68" i="106"/>
  <c r="W68" i="106"/>
  <c r="V68" i="106"/>
  <c r="AE68" i="106"/>
  <c r="AD68" i="106"/>
  <c r="X68" i="106"/>
  <c r="AA68" i="106"/>
  <c r="Z68" i="106"/>
  <c r="T68" i="106"/>
  <c r="AE98" i="106"/>
  <c r="Y97" i="106"/>
  <c r="Y175" i="106" s="1"/>
  <c r="Z97" i="106"/>
  <c r="Z175" i="106" s="1"/>
  <c r="W97" i="106"/>
  <c r="W175" i="106" s="1"/>
  <c r="X97" i="106"/>
  <c r="X175" i="106" s="1"/>
  <c r="AE120" i="106"/>
  <c r="AH120" i="106" s="1"/>
  <c r="AG70" i="106"/>
  <c r="I66" i="106"/>
  <c r="AB66" i="106"/>
  <c r="AD66" i="106"/>
  <c r="Y66" i="106"/>
  <c r="U66" i="106"/>
  <c r="Q66" i="106"/>
  <c r="Q81" i="106" s="1"/>
  <c r="AC66" i="106"/>
  <c r="X66" i="106"/>
  <c r="T66" i="106"/>
  <c r="AA66" i="106"/>
  <c r="S66" i="106"/>
  <c r="S81" i="106" s="1"/>
  <c r="AE66" i="106"/>
  <c r="Z66" i="106"/>
  <c r="R66" i="106"/>
  <c r="R81" i="106" s="1"/>
  <c r="W66" i="106"/>
  <c r="W81" i="106" s="1"/>
  <c r="V66" i="106"/>
  <c r="AH147" i="106"/>
  <c r="Z159" i="106"/>
  <c r="AG149" i="106"/>
  <c r="AH149" i="106"/>
  <c r="AH144" i="106"/>
  <c r="AH153" i="106"/>
  <c r="U159" i="106"/>
  <c r="AG150" i="106"/>
  <c r="AG157" i="106"/>
  <c r="AG147" i="106"/>
  <c r="AH155" i="106"/>
  <c r="AG152" i="106"/>
  <c r="AG144" i="106"/>
  <c r="AH126" i="106"/>
  <c r="AH130" i="106"/>
  <c r="AG128" i="106"/>
  <c r="AG126" i="106"/>
  <c r="AH131" i="106"/>
  <c r="W133" i="106"/>
  <c r="U133" i="106"/>
  <c r="AH119" i="106"/>
  <c r="AH128" i="106"/>
  <c r="T133" i="106"/>
  <c r="AH127" i="106"/>
  <c r="AG118" i="106"/>
  <c r="X133" i="106"/>
  <c r="AG129" i="106"/>
  <c r="AH118" i="106"/>
  <c r="AG119" i="106"/>
  <c r="AG93" i="106"/>
  <c r="AH94" i="106"/>
  <c r="T107" i="106"/>
  <c r="AG94" i="106"/>
  <c r="AH93" i="106"/>
  <c r="AH67" i="106"/>
  <c r="AH73" i="106"/>
  <c r="AH69" i="106"/>
  <c r="AG69" i="106"/>
  <c r="AG73" i="106"/>
  <c r="AG98" i="106" l="1"/>
  <c r="AH146" i="106"/>
  <c r="AH66" i="106"/>
  <c r="U81" i="106"/>
  <c r="AH98" i="106"/>
  <c r="AG95" i="106"/>
  <c r="X81" i="106"/>
  <c r="AH95" i="106"/>
  <c r="AH16" i="106"/>
  <c r="AG16" i="106"/>
  <c r="AH99" i="106"/>
  <c r="AH72" i="106"/>
  <c r="AG72" i="106"/>
  <c r="AG120" i="106"/>
  <c r="AG125" i="106"/>
  <c r="AG122" i="106"/>
  <c r="AH124" i="106"/>
  <c r="Y133" i="106"/>
  <c r="AG127" i="106"/>
  <c r="AH125" i="106"/>
  <c r="AG124" i="106"/>
  <c r="AH122" i="106"/>
  <c r="AG66" i="106"/>
  <c r="V81" i="106"/>
  <c r="AH68" i="106"/>
  <c r="T81" i="106"/>
  <c r="AG68" i="106"/>
  <c r="AG121" i="106" l="1"/>
  <c r="AH121" i="106"/>
  <c r="Z133" i="106"/>
  <c r="G42" i="106" l="1"/>
  <c r="G172" i="106" s="1"/>
  <c r="F42" i="106"/>
  <c r="F172" i="106" s="1"/>
  <c r="G41" i="106"/>
  <c r="G171" i="106" s="1"/>
  <c r="F41" i="106"/>
  <c r="F171" i="106" s="1"/>
  <c r="F40" i="106"/>
  <c r="F170" i="106" s="1"/>
  <c r="D47" i="106"/>
  <c r="D177" i="106" s="1"/>
  <c r="D46" i="106"/>
  <c r="D45" i="106"/>
  <c r="D175" i="106" s="1"/>
  <c r="D44" i="106"/>
  <c r="D174" i="106" s="1"/>
  <c r="D43" i="106"/>
  <c r="D173" i="106" s="1"/>
  <c r="D42" i="106"/>
  <c r="D172" i="106" s="1"/>
  <c r="D41" i="106"/>
  <c r="D171" i="106" s="1"/>
  <c r="D40" i="106"/>
  <c r="D170" i="106" s="1"/>
  <c r="C47" i="106"/>
  <c r="E47" i="106" s="1"/>
  <c r="H47" i="106" s="1"/>
  <c r="H177" i="106" s="1"/>
  <c r="C46" i="106"/>
  <c r="I46" i="106" s="1"/>
  <c r="I176" i="106" s="1"/>
  <c r="C45" i="106"/>
  <c r="C44" i="106"/>
  <c r="C43" i="106"/>
  <c r="E43" i="106" s="1"/>
  <c r="H43" i="106" s="1"/>
  <c r="C42" i="106"/>
  <c r="C41" i="106"/>
  <c r="C40" i="106"/>
  <c r="AF55" i="106"/>
  <c r="P55" i="106"/>
  <c r="O55" i="106"/>
  <c r="N55" i="106"/>
  <c r="M55" i="106"/>
  <c r="L55" i="106"/>
  <c r="J55" i="106"/>
  <c r="K40" i="106"/>
  <c r="F185" i="106" l="1"/>
  <c r="I43" i="106"/>
  <c r="I173" i="106" s="1"/>
  <c r="H173" i="106"/>
  <c r="C171" i="106"/>
  <c r="E171" i="106" s="1"/>
  <c r="E45" i="106"/>
  <c r="H45" i="106" s="1"/>
  <c r="C175" i="106"/>
  <c r="E175" i="106" s="1"/>
  <c r="C172" i="106"/>
  <c r="E172" i="106" s="1"/>
  <c r="E46" i="106"/>
  <c r="C176" i="106"/>
  <c r="G46" i="106"/>
  <c r="D176" i="106"/>
  <c r="D185" i="106" s="1"/>
  <c r="C170" i="106"/>
  <c r="C174" i="106"/>
  <c r="E174" i="106" s="1"/>
  <c r="C173" i="106"/>
  <c r="E173" i="106" s="1"/>
  <c r="C177" i="106"/>
  <c r="E177" i="106" s="1"/>
  <c r="I47" i="106"/>
  <c r="I177" i="106" s="1"/>
  <c r="X47" i="106"/>
  <c r="X177" i="106" s="1"/>
  <c r="AD43" i="106"/>
  <c r="AD173" i="106" s="1"/>
  <c r="Z43" i="106"/>
  <c r="Z173" i="106" s="1"/>
  <c r="V43" i="106"/>
  <c r="V173" i="106" s="1"/>
  <c r="AB43" i="106"/>
  <c r="AB173" i="106" s="1"/>
  <c r="T43" i="106"/>
  <c r="T173" i="106" s="1"/>
  <c r="AE43" i="106"/>
  <c r="AE173" i="106" s="1"/>
  <c r="AA43" i="106"/>
  <c r="AA173" i="106" s="1"/>
  <c r="W43" i="106"/>
  <c r="W173" i="106" s="1"/>
  <c r="AC43" i="106"/>
  <c r="AC173" i="106" s="1"/>
  <c r="Y43" i="106"/>
  <c r="Y173" i="106" s="1"/>
  <c r="U43" i="106"/>
  <c r="U173" i="106" s="1"/>
  <c r="X43" i="106"/>
  <c r="X173" i="106" s="1"/>
  <c r="AC46" i="106"/>
  <c r="AC176" i="106" s="1"/>
  <c r="Y46" i="106"/>
  <c r="Y176" i="106" s="1"/>
  <c r="AD46" i="106"/>
  <c r="AD176" i="106" s="1"/>
  <c r="AB46" i="106"/>
  <c r="AB176" i="106" s="1"/>
  <c r="X46" i="106"/>
  <c r="X176" i="106" s="1"/>
  <c r="AE46" i="106"/>
  <c r="AE176" i="106" s="1"/>
  <c r="AA46" i="106"/>
  <c r="AA176" i="106" s="1"/>
  <c r="Z46" i="106"/>
  <c r="Z176" i="106" s="1"/>
  <c r="D55" i="106"/>
  <c r="E44" i="106"/>
  <c r="H44" i="106" s="1"/>
  <c r="E40" i="106"/>
  <c r="F55" i="106"/>
  <c r="E42" i="106"/>
  <c r="H42" i="106" s="1"/>
  <c r="E41" i="106"/>
  <c r="H41" i="106" s="1"/>
  <c r="H171" i="106" s="1"/>
  <c r="C55" i="106"/>
  <c r="H46" i="106" l="1"/>
  <c r="W46" i="106" s="1"/>
  <c r="H176" i="106"/>
  <c r="G40" i="106"/>
  <c r="G170" i="106" s="1"/>
  <c r="G176" i="106"/>
  <c r="U44" i="106"/>
  <c r="AG44" i="106" s="1"/>
  <c r="H174" i="106"/>
  <c r="E170" i="106"/>
  <c r="E176" i="106"/>
  <c r="V45" i="106"/>
  <c r="H175" i="106"/>
  <c r="AH173" i="106"/>
  <c r="S42" i="106"/>
  <c r="S172" i="106" s="1"/>
  <c r="H172" i="106"/>
  <c r="AG173" i="106"/>
  <c r="AH43" i="106"/>
  <c r="AH44" i="106"/>
  <c r="R41" i="106"/>
  <c r="R171" i="106" s="1"/>
  <c r="S41" i="106"/>
  <c r="S171" i="106" s="1"/>
  <c r="AG43" i="106"/>
  <c r="AD47" i="106"/>
  <c r="AD177" i="106" s="1"/>
  <c r="Z47" i="106"/>
  <c r="Z177" i="106" s="1"/>
  <c r="AE47" i="106"/>
  <c r="AE177" i="106" s="1"/>
  <c r="AC47" i="106"/>
  <c r="AC177" i="106" s="1"/>
  <c r="Y47" i="106"/>
  <c r="Y177" i="106" s="1"/>
  <c r="AB47" i="106"/>
  <c r="AB177" i="106" s="1"/>
  <c r="AA47" i="106"/>
  <c r="AA177" i="106" s="1"/>
  <c r="I42" i="106"/>
  <c r="I172" i="106" s="1"/>
  <c r="G55" i="106"/>
  <c r="I41" i="106"/>
  <c r="I171" i="106" s="1"/>
  <c r="W176" i="106" l="1"/>
  <c r="AH176" i="106" s="1"/>
  <c r="AG46" i="106"/>
  <c r="AH46" i="106"/>
  <c r="AG177" i="106"/>
  <c r="H40" i="106"/>
  <c r="AH177" i="106"/>
  <c r="V175" i="106"/>
  <c r="AH45" i="106"/>
  <c r="AG45" i="106"/>
  <c r="G185" i="106"/>
  <c r="AH47" i="106"/>
  <c r="AG47" i="106"/>
  <c r="AD42" i="106"/>
  <c r="AD172" i="106" s="1"/>
  <c r="Z42" i="106"/>
  <c r="Z172" i="106" s="1"/>
  <c r="V42" i="106"/>
  <c r="V172" i="106" s="1"/>
  <c r="X42" i="106"/>
  <c r="X172" i="106" s="1"/>
  <c r="AE42" i="106"/>
  <c r="AE172" i="106" s="1"/>
  <c r="AA42" i="106"/>
  <c r="AA172" i="106" s="1"/>
  <c r="W42" i="106"/>
  <c r="W172" i="106" s="1"/>
  <c r="AC42" i="106"/>
  <c r="AC172" i="106" s="1"/>
  <c r="Y42" i="106"/>
  <c r="Y172" i="106" s="1"/>
  <c r="U42" i="106"/>
  <c r="U172" i="106" s="1"/>
  <c r="AB42" i="106"/>
  <c r="AB172" i="106" s="1"/>
  <c r="T42" i="106"/>
  <c r="T172" i="106" s="1"/>
  <c r="T41" i="106"/>
  <c r="T171" i="106" s="1"/>
  <c r="AE41" i="106"/>
  <c r="AE171" i="106" s="1"/>
  <c r="AA41" i="106"/>
  <c r="AA171" i="106" s="1"/>
  <c r="W41" i="106"/>
  <c r="AC41" i="106"/>
  <c r="AC171" i="106" s="1"/>
  <c r="Y41" i="106"/>
  <c r="Y171" i="106" s="1"/>
  <c r="X41" i="106"/>
  <c r="AD41" i="106"/>
  <c r="AD171" i="106" s="1"/>
  <c r="Z41" i="106"/>
  <c r="Z171" i="106" s="1"/>
  <c r="V41" i="106"/>
  <c r="V171" i="106" s="1"/>
  <c r="U41" i="106"/>
  <c r="U171" i="106" s="1"/>
  <c r="AB41" i="106"/>
  <c r="AB171" i="106" s="1"/>
  <c r="H107" i="58"/>
  <c r="H86" i="58"/>
  <c r="AG176" i="106" l="1"/>
  <c r="H170" i="106"/>
  <c r="AA40" i="106"/>
  <c r="Z40" i="106"/>
  <c r="AC40" i="106"/>
  <c r="AB40" i="106"/>
  <c r="I40" i="106"/>
  <c r="W40" i="106"/>
  <c r="W55" i="106" s="1"/>
  <c r="V40" i="106"/>
  <c r="V55" i="106" s="1"/>
  <c r="Y40" i="106"/>
  <c r="X40" i="106"/>
  <c r="X55" i="106" s="1"/>
  <c r="S40" i="106"/>
  <c r="R40" i="106"/>
  <c r="U40" i="106"/>
  <c r="U55" i="106" s="1"/>
  <c r="AE40" i="106"/>
  <c r="AD40" i="106"/>
  <c r="T40" i="106"/>
  <c r="T170" i="106" s="1"/>
  <c r="T185" i="106" s="1"/>
  <c r="Q40" i="106"/>
  <c r="AH172" i="106"/>
  <c r="W171" i="106"/>
  <c r="X171" i="106"/>
  <c r="AG172" i="106"/>
  <c r="AG41" i="106"/>
  <c r="AH42" i="106"/>
  <c r="T55" i="106"/>
  <c r="AH41" i="106"/>
  <c r="AG42" i="106"/>
  <c r="AG171" i="106" l="1"/>
  <c r="R55" i="106"/>
  <c r="R170" i="106"/>
  <c r="R185" i="106" s="1"/>
  <c r="S170" i="106"/>
  <c r="S185" i="106" s="1"/>
  <c r="S55" i="106"/>
  <c r="I170" i="106"/>
  <c r="AH40" i="106"/>
  <c r="Q170" i="106"/>
  <c r="Q185" i="106" s="1"/>
  <c r="AG40" i="106"/>
  <c r="Q55" i="106"/>
  <c r="AH171" i="106"/>
  <c r="G26" i="96"/>
  <c r="E12" i="96" l="1"/>
  <c r="D12" i="96"/>
  <c r="C10" i="96"/>
  <c r="E12" i="58"/>
  <c r="P29" i="105"/>
  <c r="O29" i="105"/>
  <c r="P28" i="105"/>
  <c r="O28" i="105"/>
  <c r="I14" i="104" l="1"/>
  <c r="J17" i="77" l="1"/>
  <c r="D7" i="102" l="1"/>
  <c r="E7" i="102"/>
  <c r="AH47" i="64" l="1"/>
  <c r="M21" i="105"/>
  <c r="N21" i="105" s="1"/>
  <c r="O21" i="105" s="1"/>
  <c r="P21" i="105" s="1"/>
  <c r="Q21" i="105" s="1"/>
  <c r="R21" i="105" s="1"/>
  <c r="S21" i="105" s="1"/>
  <c r="N28" i="105"/>
  <c r="M28" i="105"/>
  <c r="Q36" i="105"/>
  <c r="P36" i="105"/>
  <c r="H36" i="105"/>
  <c r="G36" i="105"/>
  <c r="O35" i="105"/>
  <c r="F35" i="105"/>
  <c r="S36" i="105"/>
  <c r="R36" i="105"/>
  <c r="O36" i="105"/>
  <c r="N36" i="105"/>
  <c r="M36" i="105"/>
  <c r="S35" i="105"/>
  <c r="R35" i="105"/>
  <c r="Q35" i="105"/>
  <c r="P35" i="105"/>
  <c r="J36" i="105"/>
  <c r="I36" i="105"/>
  <c r="F36" i="105"/>
  <c r="E36" i="105"/>
  <c r="D36" i="105"/>
  <c r="J35" i="105"/>
  <c r="I35" i="105"/>
  <c r="H35" i="105"/>
  <c r="G35" i="105"/>
  <c r="E35" i="105"/>
  <c r="D35" i="105"/>
  <c r="D37" i="105" s="1"/>
  <c r="E34" i="105" s="1"/>
  <c r="E37" i="105" s="1"/>
  <c r="F34" i="105" s="1"/>
  <c r="F37" i="105" s="1"/>
  <c r="G34" i="105" s="1"/>
  <c r="N16" i="105"/>
  <c r="N35" i="105" s="1"/>
  <c r="M16" i="105"/>
  <c r="M35" i="105" s="1"/>
  <c r="H38" i="105" l="1"/>
  <c r="M37" i="105"/>
  <c r="N34" i="105" s="1"/>
  <c r="N37" i="105" s="1"/>
  <c r="O34" i="105" s="1"/>
  <c r="G38" i="105"/>
  <c r="F38" i="105"/>
  <c r="G37" i="105"/>
  <c r="H34" i="105" s="1"/>
  <c r="H37" i="105" s="1"/>
  <c r="I34" i="105" s="1"/>
  <c r="I37" i="105" s="1"/>
  <c r="J34" i="105" s="1"/>
  <c r="J37" i="105" s="1"/>
  <c r="O37" i="105"/>
  <c r="P34" i="105" s="1"/>
  <c r="P37" i="105" s="1"/>
  <c r="Q34" i="105" s="1"/>
  <c r="Q37" i="105" s="1"/>
  <c r="R34" i="105" s="1"/>
  <c r="R37" i="105" s="1"/>
  <c r="S34" i="105" s="1"/>
  <c r="S37" i="105" s="1"/>
  <c r="E11" i="3" s="1"/>
  <c r="AA52" i="64" l="1"/>
  <c r="AB52" i="64" s="1"/>
  <c r="AA51" i="64"/>
  <c r="AB51" i="64" s="1"/>
  <c r="AA50" i="64"/>
  <c r="AB50" i="64" s="1"/>
  <c r="AA49" i="64"/>
  <c r="AB49" i="64" s="1"/>
  <c r="AA48" i="64"/>
  <c r="AB48" i="64" s="1"/>
  <c r="S28" i="105" l="1"/>
  <c r="R28" i="105"/>
  <c r="Q28" i="105"/>
  <c r="S26" i="105"/>
  <c r="R26" i="105"/>
  <c r="Q26" i="105"/>
  <c r="P26" i="105"/>
  <c r="O26" i="105"/>
  <c r="E27" i="105"/>
  <c r="N26" i="105"/>
  <c r="M26" i="105"/>
  <c r="E11" i="58" l="1"/>
  <c r="D11" i="58"/>
  <c r="D12" i="58" s="1"/>
  <c r="S10" i="105"/>
  <c r="R10" i="105"/>
  <c r="Q10" i="105"/>
  <c r="P10" i="105"/>
  <c r="O10" i="105"/>
  <c r="N10" i="105"/>
  <c r="M10" i="105"/>
  <c r="J10" i="105"/>
  <c r="J12" i="105" s="1"/>
  <c r="I10" i="105"/>
  <c r="I12" i="105" s="1"/>
  <c r="H10" i="105"/>
  <c r="H12" i="105" s="1"/>
  <c r="F10" i="105"/>
  <c r="F12" i="105" s="1"/>
  <c r="E10" i="105"/>
  <c r="E12" i="105" s="1"/>
  <c r="D10" i="105"/>
  <c r="D12" i="105" s="1"/>
  <c r="G10" i="105"/>
  <c r="G12" i="105" s="1"/>
  <c r="I27" i="105" l="1"/>
  <c r="M18" i="105"/>
  <c r="N18" i="105" s="1"/>
  <c r="O18" i="105" s="1"/>
  <c r="P18" i="105" s="1"/>
  <c r="Q18" i="105" s="1"/>
  <c r="R18" i="105" s="1"/>
  <c r="S18" i="105" s="1"/>
  <c r="J28" i="105"/>
  <c r="I28" i="105"/>
  <c r="H28" i="105"/>
  <c r="J27" i="105"/>
  <c r="H27" i="105"/>
  <c r="G27" i="105"/>
  <c r="J26" i="105"/>
  <c r="I26" i="105"/>
  <c r="H26" i="105"/>
  <c r="G26" i="105"/>
  <c r="G28" i="105"/>
  <c r="F27" i="105"/>
  <c r="F28" i="105"/>
  <c r="F26" i="105"/>
  <c r="E26" i="105"/>
  <c r="D18" i="105"/>
  <c r="E18" i="105" s="1"/>
  <c r="F18" i="105" s="1"/>
  <c r="G18" i="105" s="1"/>
  <c r="H18" i="105" s="1"/>
  <c r="I18" i="105" s="1"/>
  <c r="J18" i="105" s="1"/>
  <c r="D21" i="105"/>
  <c r="E21" i="105" s="1"/>
  <c r="F21" i="105" s="1"/>
  <c r="G21" i="105" s="1"/>
  <c r="H21" i="105" s="1"/>
  <c r="I21" i="105" s="1"/>
  <c r="J21" i="105" s="1"/>
  <c r="D27" i="105"/>
  <c r="D25" i="105"/>
  <c r="D30" i="105" l="1"/>
  <c r="E25" i="105" s="1"/>
  <c r="M25" i="105"/>
  <c r="M30" i="105" s="1"/>
  <c r="E29" i="99"/>
  <c r="E26" i="99"/>
  <c r="E27" i="99"/>
  <c r="N25" i="105" l="1"/>
  <c r="E30" i="105"/>
  <c r="F25" i="105" s="1"/>
  <c r="N30" i="105" l="1"/>
  <c r="O25" i="105" s="1"/>
  <c r="O30" i="105" s="1"/>
  <c r="P25" i="105" s="1"/>
  <c r="P30" i="105" s="1"/>
  <c r="F30" i="105"/>
  <c r="G25" i="105" s="1"/>
  <c r="G30" i="105" s="1"/>
  <c r="H25" i="105" s="1"/>
  <c r="H30" i="105" s="1"/>
  <c r="I25" i="105" s="1"/>
  <c r="I30" i="105" s="1"/>
  <c r="J25" i="105" s="1"/>
  <c r="J30" i="105" s="1"/>
  <c r="Q25" i="105" l="1"/>
  <c r="Q30" i="105" l="1"/>
  <c r="R25" i="105" s="1"/>
  <c r="R30" i="105" s="1"/>
  <c r="S25" i="105" s="1"/>
  <c r="S30" i="105" s="1"/>
  <c r="C5" i="96" l="1"/>
  <c r="C11" i="96"/>
  <c r="C12" i="96" s="1"/>
  <c r="J11" i="103" l="1"/>
  <c r="D9" i="76"/>
  <c r="E10" i="90" l="1"/>
  <c r="F10" i="90" s="1"/>
  <c r="H10" i="90"/>
  <c r="I10" i="90" s="1"/>
  <c r="E83" i="58" l="1"/>
  <c r="E56" i="58" l="1"/>
  <c r="E47" i="58"/>
  <c r="E38" i="58"/>
  <c r="H29" i="69"/>
  <c r="H28" i="69"/>
  <c r="H27" i="69"/>
  <c r="G30" i="69"/>
  <c r="E30" i="69"/>
  <c r="D30" i="69"/>
  <c r="F30" i="69" l="1"/>
  <c r="H26" i="69"/>
  <c r="H25" i="68"/>
  <c r="E28" i="99"/>
  <c r="H18" i="104" l="1"/>
  <c r="E59" i="79"/>
  <c r="J59" i="79" s="1"/>
  <c r="I25" i="103"/>
  <c r="H15" i="103"/>
  <c r="H12" i="103"/>
  <c r="H16" i="103" l="1"/>
  <c r="I16" i="103" s="1"/>
  <c r="J16" i="103" s="1"/>
  <c r="I6" i="103"/>
  <c r="I12" i="103" l="1"/>
  <c r="I13" i="103" s="1"/>
  <c r="I15" i="103" s="1"/>
  <c r="J6" i="103"/>
  <c r="J12" i="103" s="1"/>
  <c r="J13" i="103" s="1"/>
  <c r="J15" i="103" s="1"/>
  <c r="E7" i="103" l="1"/>
  <c r="J21" i="103" l="1"/>
  <c r="J25" i="103" s="1"/>
  <c r="E8" i="103" s="1"/>
  <c r="E9" i="103" s="1"/>
  <c r="F25" i="2" l="1"/>
  <c r="D14" i="104"/>
  <c r="D16" i="104" s="1"/>
  <c r="E30" i="99"/>
  <c r="D29" i="99"/>
  <c r="D27" i="99"/>
  <c r="D26" i="99"/>
  <c r="E66" i="58"/>
  <c r="Q104" i="58"/>
  <c r="Q103" i="58"/>
  <c r="Q102" i="58"/>
  <c r="P104" i="58"/>
  <c r="P103" i="58"/>
  <c r="P102" i="58"/>
  <c r="O104" i="58"/>
  <c r="O103" i="58"/>
  <c r="O102" i="58"/>
  <c r="N104" i="58"/>
  <c r="N103" i="58"/>
  <c r="N102" i="58"/>
  <c r="M104" i="58"/>
  <c r="M103" i="58"/>
  <c r="M102" i="58"/>
  <c r="K104" i="58"/>
  <c r="K103" i="58"/>
  <c r="K102" i="58"/>
  <c r="H108" i="58"/>
  <c r="H112" i="58" s="1"/>
  <c r="H114" i="58" s="1"/>
  <c r="H104" i="58"/>
  <c r="H103" i="58"/>
  <c r="H102" i="58"/>
  <c r="H80" i="58"/>
  <c r="H101" i="58" s="1"/>
  <c r="E108" i="58"/>
  <c r="E102" i="58"/>
  <c r="E103" i="58"/>
  <c r="E104" i="58"/>
  <c r="E101" i="58"/>
  <c r="E60" i="58"/>
  <c r="D28" i="99" l="1"/>
  <c r="D30" i="99" s="1"/>
  <c r="D17" i="104"/>
  <c r="D19" i="104" s="1"/>
  <c r="E13" i="104"/>
  <c r="E16" i="104" s="1"/>
  <c r="E24" i="79"/>
  <c r="J24" i="79" s="1"/>
  <c r="G25" i="2"/>
  <c r="E105" i="58"/>
  <c r="E106" i="58" s="1"/>
  <c r="E107" i="58" s="1"/>
  <c r="I21" i="96" s="1"/>
  <c r="E68" i="58"/>
  <c r="E70" i="58" s="1"/>
  <c r="E65" i="58"/>
  <c r="E112" i="58"/>
  <c r="E114" i="58" s="1"/>
  <c r="H105" i="58"/>
  <c r="H106" i="58" s="1"/>
  <c r="H20" i="58" s="1"/>
  <c r="J21" i="96" s="1"/>
  <c r="H84" i="58"/>
  <c r="K80" i="58" s="1"/>
  <c r="E85" i="58"/>
  <c r="E86" i="58" s="1"/>
  <c r="E62" i="58"/>
  <c r="E63" i="58" s="1"/>
  <c r="E64" i="58" s="1"/>
  <c r="E55" i="58"/>
  <c r="E53" i="58"/>
  <c r="E46" i="58"/>
  <c r="E44" i="58"/>
  <c r="E37" i="58"/>
  <c r="E35" i="58"/>
  <c r="B51" i="58"/>
  <c r="B52" i="58" s="1"/>
  <c r="B53" i="58" s="1"/>
  <c r="B54" i="58" s="1"/>
  <c r="B55" i="58" s="1"/>
  <c r="B56" i="58" s="1"/>
  <c r="B57" i="58" s="1"/>
  <c r="M10" i="90"/>
  <c r="N10" i="90" s="1"/>
  <c r="M17" i="101"/>
  <c r="K18" i="101"/>
  <c r="K19" i="101" s="1"/>
  <c r="K20" i="101" s="1"/>
  <c r="K21" i="101" s="1"/>
  <c r="K22" i="101" s="1"/>
  <c r="K23" i="101" s="1"/>
  <c r="K24" i="101" s="1"/>
  <c r="K25" i="101" s="1"/>
  <c r="K26" i="101" s="1"/>
  <c r="K27" i="101" s="1"/>
  <c r="F21" i="79"/>
  <c r="J21" i="79"/>
  <c r="H21" i="2"/>
  <c r="E21" i="2"/>
  <c r="F51" i="79"/>
  <c r="J51" i="79"/>
  <c r="D1" i="97"/>
  <c r="B1" i="98"/>
  <c r="C3" i="99"/>
  <c r="C2" i="100"/>
  <c r="E8" i="100"/>
  <c r="D8" i="100"/>
  <c r="E28" i="79"/>
  <c r="J28" i="79" s="1"/>
  <c r="I29" i="2"/>
  <c r="E58" i="79" s="1"/>
  <c r="J58" i="79" s="1"/>
  <c r="I27" i="2"/>
  <c r="E56" i="79" s="1"/>
  <c r="F56" i="79" s="1"/>
  <c r="I26" i="2"/>
  <c r="E55" i="79" s="1"/>
  <c r="F55" i="79" s="1"/>
  <c r="L13" i="2"/>
  <c r="I64" i="78"/>
  <c r="I63" i="78"/>
  <c r="I80" i="78"/>
  <c r="F80" i="78"/>
  <c r="F64" i="78"/>
  <c r="F63" i="78"/>
  <c r="K10" i="90" l="1"/>
  <c r="L10" i="90"/>
  <c r="F13" i="104"/>
  <c r="E17" i="104"/>
  <c r="E19" i="104" s="1"/>
  <c r="E20" i="58"/>
  <c r="K84" i="58"/>
  <c r="K85" i="58" s="1"/>
  <c r="K87" i="58" s="1"/>
  <c r="K108" i="58" s="1"/>
  <c r="K112" i="58" s="1"/>
  <c r="K114" i="58" s="1"/>
  <c r="K101" i="58"/>
  <c r="I65" i="78"/>
  <c r="F8" i="99" s="1"/>
  <c r="G8" i="99" s="1"/>
  <c r="I41" i="78"/>
  <c r="I35" i="78"/>
  <c r="F48" i="78"/>
  <c r="F35" i="78"/>
  <c r="F41" i="78"/>
  <c r="F65" i="78"/>
  <c r="I48" i="78"/>
  <c r="I73" i="78"/>
  <c r="F73" i="78"/>
  <c r="H85" i="58"/>
  <c r="F58" i="79"/>
  <c r="J56" i="79"/>
  <c r="J55" i="79"/>
  <c r="L13" i="76"/>
  <c r="I13" i="76"/>
  <c r="F13" i="76"/>
  <c r="E9" i="76"/>
  <c r="F9" i="76" s="1"/>
  <c r="G8" i="98"/>
  <c r="L8" i="98" s="1"/>
  <c r="G7" i="98"/>
  <c r="M7" i="98" s="1"/>
  <c r="G6" i="98"/>
  <c r="L6" i="98" s="1"/>
  <c r="G5" i="98"/>
  <c r="O5" i="98" s="1"/>
  <c r="G4" i="98"/>
  <c r="M4" i="98" s="1"/>
  <c r="F11" i="98"/>
  <c r="M8" i="98"/>
  <c r="I8" i="98"/>
  <c r="J7" i="98"/>
  <c r="O6" i="98"/>
  <c r="N6" i="98"/>
  <c r="M6" i="98"/>
  <c r="K6" i="98"/>
  <c r="J6" i="98"/>
  <c r="I6" i="98"/>
  <c r="M5" i="98"/>
  <c r="N4" i="98"/>
  <c r="I4" i="98"/>
  <c r="E41" i="3"/>
  <c r="F41" i="3" s="1"/>
  <c r="G41" i="3" s="1"/>
  <c r="H41" i="3" s="1"/>
  <c r="L15" i="3"/>
  <c r="L13" i="3"/>
  <c r="I13" i="3"/>
  <c r="F15" i="3"/>
  <c r="F13" i="3"/>
  <c r="F11" i="3"/>
  <c r="E40" i="77"/>
  <c r="I18" i="104" s="1"/>
  <c r="I10" i="97"/>
  <c r="I9" i="97"/>
  <c r="I8" i="97"/>
  <c r="I7" i="97"/>
  <c r="I6" i="97"/>
  <c r="F10" i="97"/>
  <c r="F9" i="97"/>
  <c r="F8" i="97"/>
  <c r="F7" i="97"/>
  <c r="F6" i="97"/>
  <c r="H5" i="98" l="1"/>
  <c r="I5" i="98"/>
  <c r="J5" i="98"/>
  <c r="L5" i="98"/>
  <c r="N5" i="98"/>
  <c r="N7" i="98"/>
  <c r="J4" i="98"/>
  <c r="J8" i="98"/>
  <c r="N8" i="98"/>
  <c r="O4" i="98"/>
  <c r="L4" i="98"/>
  <c r="K8" i="98"/>
  <c r="O8" i="98"/>
  <c r="H4" i="98"/>
  <c r="H8" i="98"/>
  <c r="F40" i="77"/>
  <c r="F13" i="99"/>
  <c r="I82" i="78"/>
  <c r="I84" i="78" s="1"/>
  <c r="I53" i="78" s="1"/>
  <c r="I55" i="78" s="1"/>
  <c r="I57" i="78" s="1"/>
  <c r="I59" i="78" s="1"/>
  <c r="I60" i="78" s="1"/>
  <c r="M80" i="58"/>
  <c r="M101" i="58" s="1"/>
  <c r="K105" i="58"/>
  <c r="K106" i="58" s="1"/>
  <c r="K107" i="58" s="1"/>
  <c r="K20" i="58" s="1"/>
  <c r="I49" i="78"/>
  <c r="I51" i="78" s="1"/>
  <c r="F49" i="78"/>
  <c r="F51" i="78" s="1"/>
  <c r="D8" i="99"/>
  <c r="F82" i="78"/>
  <c r="F84" i="78" s="1"/>
  <c r="K7" i="98"/>
  <c r="O7" i="98"/>
  <c r="H7" i="98"/>
  <c r="L7" i="98"/>
  <c r="I7" i="98"/>
  <c r="H6" i="98"/>
  <c r="K5" i="98"/>
  <c r="F12" i="98"/>
  <c r="K4" i="98"/>
  <c r="G12" i="97"/>
  <c r="G14" i="97" s="1"/>
  <c r="F17" i="77" s="1"/>
  <c r="F18" i="104" s="1"/>
  <c r="J12" i="97"/>
  <c r="J14" i="97" s="1"/>
  <c r="H17" i="77" s="1"/>
  <c r="G18" i="104" s="1"/>
  <c r="L22" i="58"/>
  <c r="P28" i="96"/>
  <c r="O28" i="96"/>
  <c r="N28" i="96"/>
  <c r="M28" i="96"/>
  <c r="L28" i="96"/>
  <c r="K28" i="96"/>
  <c r="J28" i="96"/>
  <c r="I28" i="96"/>
  <c r="G17" i="96"/>
  <c r="G18" i="96" s="1"/>
  <c r="G19" i="96" s="1"/>
  <c r="G20" i="96" s="1"/>
  <c r="G21" i="96" s="1"/>
  <c r="G22" i="96" s="1"/>
  <c r="G23" i="96" s="1"/>
  <c r="C8" i="96"/>
  <c r="E8" i="96" s="1"/>
  <c r="C7" i="96"/>
  <c r="D7" i="96" s="1"/>
  <c r="C6" i="96"/>
  <c r="D6" i="96" s="1"/>
  <c r="C4" i="96"/>
  <c r="D4" i="96" s="1"/>
  <c r="C3" i="96"/>
  <c r="E3" i="96" s="1"/>
  <c r="V94" i="64"/>
  <c r="V93" i="64"/>
  <c r="V92" i="64"/>
  <c r="V91" i="64"/>
  <c r="V90" i="64"/>
  <c r="V89" i="64"/>
  <c r="Q94" i="64"/>
  <c r="Q93" i="64"/>
  <c r="Q92" i="64"/>
  <c r="Q91" i="64"/>
  <c r="Q90" i="64"/>
  <c r="Q89" i="64"/>
  <c r="L89" i="64"/>
  <c r="G94" i="64"/>
  <c r="G93" i="64"/>
  <c r="G92" i="64"/>
  <c r="G91" i="64"/>
  <c r="G90" i="64"/>
  <c r="G89" i="64"/>
  <c r="V81" i="64"/>
  <c r="V80" i="64"/>
  <c r="V79" i="64"/>
  <c r="V78" i="64"/>
  <c r="V77" i="64"/>
  <c r="V76" i="64"/>
  <c r="Q81" i="64"/>
  <c r="Q80" i="64"/>
  <c r="Q79" i="64"/>
  <c r="Q78" i="64"/>
  <c r="Q77" i="64"/>
  <c r="Q76" i="64"/>
  <c r="L76" i="64"/>
  <c r="L94" i="64"/>
  <c r="L93" i="64"/>
  <c r="L92" i="64"/>
  <c r="F66" i="64"/>
  <c r="L91" i="64"/>
  <c r="V66" i="64"/>
  <c r="U66" i="64"/>
  <c r="Q66" i="64"/>
  <c r="P66" i="64"/>
  <c r="G66" i="64"/>
  <c r="L81" i="64"/>
  <c r="L80" i="64"/>
  <c r="L79" i="64"/>
  <c r="L78" i="64"/>
  <c r="L77" i="64"/>
  <c r="V53" i="64"/>
  <c r="U53" i="64"/>
  <c r="Q53" i="64"/>
  <c r="P53" i="64"/>
  <c r="G10" i="91"/>
  <c r="U94" i="64"/>
  <c r="U93" i="64"/>
  <c r="U92" i="64"/>
  <c r="C106" i="106"/>
  <c r="E106" i="106" s="1"/>
  <c r="H106" i="106" s="1"/>
  <c r="U91" i="64"/>
  <c r="C80" i="106"/>
  <c r="U90" i="64"/>
  <c r="E54" i="106"/>
  <c r="U89" i="64"/>
  <c r="P94" i="64"/>
  <c r="P93" i="64"/>
  <c r="P92" i="64"/>
  <c r="C105" i="106"/>
  <c r="E105" i="106" s="1"/>
  <c r="H105" i="106" s="1"/>
  <c r="P91" i="64"/>
  <c r="C79" i="106"/>
  <c r="P90" i="64"/>
  <c r="E53" i="106"/>
  <c r="P89" i="64"/>
  <c r="K93" i="64"/>
  <c r="C104" i="106"/>
  <c r="E104" i="106" s="1"/>
  <c r="H104" i="106" s="1"/>
  <c r="C78" i="106"/>
  <c r="E52" i="106"/>
  <c r="F94" i="64"/>
  <c r="F93" i="64"/>
  <c r="F92" i="64"/>
  <c r="C103" i="106"/>
  <c r="E103" i="106" s="1"/>
  <c r="H103" i="106" s="1"/>
  <c r="F91" i="64"/>
  <c r="C77" i="106"/>
  <c r="F90" i="64"/>
  <c r="E51" i="106"/>
  <c r="F89" i="64"/>
  <c r="P76" i="64"/>
  <c r="O76" i="64"/>
  <c r="K76" i="64"/>
  <c r="J76" i="64"/>
  <c r="G76" i="64"/>
  <c r="F76" i="64"/>
  <c r="E76" i="64"/>
  <c r="U81" i="64"/>
  <c r="U80" i="64"/>
  <c r="U79" i="64"/>
  <c r="C102" i="106"/>
  <c r="E102" i="106" s="1"/>
  <c r="H102" i="106" s="1"/>
  <c r="U78" i="64"/>
  <c r="C76" i="106"/>
  <c r="E76" i="106" s="1"/>
  <c r="H76" i="106" s="1"/>
  <c r="U77" i="64"/>
  <c r="E50" i="106"/>
  <c r="P81" i="64"/>
  <c r="AE52" i="64"/>
  <c r="P80" i="64"/>
  <c r="AE51" i="64"/>
  <c r="P79" i="64"/>
  <c r="P78" i="64"/>
  <c r="P77" i="64"/>
  <c r="C100" i="106"/>
  <c r="V38" i="64"/>
  <c r="Q38" i="64"/>
  <c r="L38" i="64"/>
  <c r="G38" i="64"/>
  <c r="V22" i="64"/>
  <c r="Q22" i="64"/>
  <c r="L22" i="64"/>
  <c r="J29" i="2"/>
  <c r="J27" i="2"/>
  <c r="J26" i="2"/>
  <c r="E10" i="69"/>
  <c r="E19" i="69" s="1"/>
  <c r="E21" i="69" s="1"/>
  <c r="G10" i="69"/>
  <c r="G19" i="69" s="1"/>
  <c r="G21" i="69" s="1"/>
  <c r="H35" i="68"/>
  <c r="H34" i="68"/>
  <c r="H26" i="68"/>
  <c r="H18" i="68"/>
  <c r="H10" i="68"/>
  <c r="H32" i="68"/>
  <c r="H31" i="68"/>
  <c r="H30" i="68"/>
  <c r="H29" i="68"/>
  <c r="H28" i="68"/>
  <c r="H27" i="68"/>
  <c r="H24" i="68"/>
  <c r="H23" i="68"/>
  <c r="H22" i="68"/>
  <c r="H21" i="68"/>
  <c r="H20" i="68"/>
  <c r="H19" i="68"/>
  <c r="H17" i="68"/>
  <c r="H16" i="68"/>
  <c r="H15" i="68"/>
  <c r="H14" i="68"/>
  <c r="H13" i="68"/>
  <c r="H12" i="68"/>
  <c r="H11" i="68"/>
  <c r="G38" i="68"/>
  <c r="G40" i="68" s="1"/>
  <c r="F38" i="68"/>
  <c r="F40" i="68" s="1"/>
  <c r="E38" i="68"/>
  <c r="E40" i="68" s="1"/>
  <c r="D38" i="68"/>
  <c r="D40" i="68" s="1"/>
  <c r="H30" i="67"/>
  <c r="H26" i="67"/>
  <c r="H22" i="67"/>
  <c r="H21" i="67"/>
  <c r="H18" i="67"/>
  <c r="H17" i="67"/>
  <c r="H14" i="67"/>
  <c r="H13" i="67"/>
  <c r="O46" i="61"/>
  <c r="J46" i="61"/>
  <c r="E46" i="61"/>
  <c r="N52" i="61"/>
  <c r="I52" i="61"/>
  <c r="D52" i="61"/>
  <c r="E39" i="61"/>
  <c r="G17" i="61"/>
  <c r="J17" i="61" s="1"/>
  <c r="L17" i="61" s="1"/>
  <c r="M17" i="61" l="1"/>
  <c r="J31" i="61" s="1"/>
  <c r="J34" i="61" s="1"/>
  <c r="O17" i="61"/>
  <c r="H17" i="61"/>
  <c r="E31" i="61" s="1"/>
  <c r="E34" i="61" s="1"/>
  <c r="H17" i="98"/>
  <c r="E12" i="14" s="1"/>
  <c r="F12" i="14" s="1"/>
  <c r="E48" i="106"/>
  <c r="C74" i="106"/>
  <c r="AE48" i="64"/>
  <c r="E49" i="106"/>
  <c r="H49" i="106" s="1"/>
  <c r="AE50" i="64"/>
  <c r="C101" i="106"/>
  <c r="E101" i="106" s="1"/>
  <c r="H101" i="106" s="1"/>
  <c r="I76" i="106"/>
  <c r="AA76" i="106"/>
  <c r="T76" i="64"/>
  <c r="C24" i="106"/>
  <c r="AC104" i="106"/>
  <c r="I104" i="106"/>
  <c r="AE106" i="106"/>
  <c r="I106" i="106"/>
  <c r="E77" i="106"/>
  <c r="H77" i="106" s="1"/>
  <c r="C181" i="106"/>
  <c r="E181" i="106" s="1"/>
  <c r="E78" i="106"/>
  <c r="H78" i="106" s="1"/>
  <c r="C182" i="106"/>
  <c r="E182" i="106" s="1"/>
  <c r="E79" i="106"/>
  <c r="H79" i="106" s="1"/>
  <c r="C183" i="106"/>
  <c r="E183" i="106" s="1"/>
  <c r="E80" i="106"/>
  <c r="H80" i="106" s="1"/>
  <c r="C184" i="106"/>
  <c r="E184" i="106" s="1"/>
  <c r="AB103" i="106"/>
  <c r="I103" i="106"/>
  <c r="AD105" i="106"/>
  <c r="I105" i="106"/>
  <c r="E100" i="106"/>
  <c r="C107" i="106"/>
  <c r="AE49" i="64"/>
  <c r="C75" i="106"/>
  <c r="AA102" i="106"/>
  <c r="I102" i="106"/>
  <c r="H48" i="106"/>
  <c r="H30" i="69"/>
  <c r="G22" i="64"/>
  <c r="E38" i="64"/>
  <c r="P12" i="91" s="1"/>
  <c r="J38" i="64"/>
  <c r="Q12" i="91" s="1"/>
  <c r="O38" i="64"/>
  <c r="R12" i="91" s="1"/>
  <c r="T38" i="64"/>
  <c r="S12" i="91" s="1"/>
  <c r="E13" i="66"/>
  <c r="I13" i="66"/>
  <c r="M13" i="66"/>
  <c r="F14" i="99"/>
  <c r="F16" i="99" s="1"/>
  <c r="F17" i="99" s="1"/>
  <c r="G17" i="99" s="1"/>
  <c r="G40" i="77"/>
  <c r="K21" i="96"/>
  <c r="M12" i="65"/>
  <c r="M11" i="65"/>
  <c r="L11" i="65"/>
  <c r="K80" i="64"/>
  <c r="F95" i="64"/>
  <c r="H13" i="66"/>
  <c r="L13" i="66"/>
  <c r="V82" i="64"/>
  <c r="K91" i="64"/>
  <c r="K77" i="64"/>
  <c r="K79" i="64"/>
  <c r="K53" i="64"/>
  <c r="F78" i="64"/>
  <c r="F80" i="64"/>
  <c r="M84" i="58"/>
  <c r="M85" i="58" s="1"/>
  <c r="M87" i="58" s="1"/>
  <c r="M108" i="58" s="1"/>
  <c r="M112" i="58" s="1"/>
  <c r="M114" i="58" s="1"/>
  <c r="M105" i="58"/>
  <c r="M106" i="58" s="1"/>
  <c r="V95" i="64"/>
  <c r="G78" i="64"/>
  <c r="G80" i="64"/>
  <c r="P82" i="64"/>
  <c r="Q82" i="64"/>
  <c r="F79" i="64"/>
  <c r="F81" i="64"/>
  <c r="K92" i="64"/>
  <c r="K94" i="64"/>
  <c r="K66" i="64"/>
  <c r="AE47" i="64"/>
  <c r="F33" i="67"/>
  <c r="F35" i="67" s="1"/>
  <c r="E33" i="67"/>
  <c r="E35" i="67" s="1"/>
  <c r="H15" i="67"/>
  <c r="H19" i="67"/>
  <c r="H23" i="67"/>
  <c r="H27" i="67"/>
  <c r="H31" i="67"/>
  <c r="G77" i="64"/>
  <c r="K78" i="64"/>
  <c r="G95" i="64"/>
  <c r="H25" i="67"/>
  <c r="H29" i="67"/>
  <c r="H33" i="68"/>
  <c r="H36" i="68"/>
  <c r="K81" i="64"/>
  <c r="Q95" i="64"/>
  <c r="T89" i="64"/>
  <c r="D13" i="66"/>
  <c r="G13" i="66"/>
  <c r="K13" i="66"/>
  <c r="D33" i="67"/>
  <c r="D35" i="67" s="1"/>
  <c r="H12" i="67"/>
  <c r="H16" i="67"/>
  <c r="H20" i="67"/>
  <c r="H24" i="67"/>
  <c r="H28" i="67"/>
  <c r="H32" i="67"/>
  <c r="F10" i="69"/>
  <c r="F19" i="69" s="1"/>
  <c r="F21" i="69" s="1"/>
  <c r="K90" i="64"/>
  <c r="G79" i="64"/>
  <c r="F11" i="65"/>
  <c r="I12" i="65"/>
  <c r="I11" i="65"/>
  <c r="F77" i="64"/>
  <c r="F22" i="64"/>
  <c r="U76" i="64"/>
  <c r="U82" i="64" s="1"/>
  <c r="U22" i="64"/>
  <c r="P95" i="64"/>
  <c r="U95" i="64"/>
  <c r="G33" i="67"/>
  <c r="G35" i="67" s="1"/>
  <c r="H11" i="67"/>
  <c r="H10" i="67"/>
  <c r="D10" i="69"/>
  <c r="D19" i="69" s="1"/>
  <c r="D21" i="69" s="1"/>
  <c r="G53" i="64"/>
  <c r="G81" i="64"/>
  <c r="E89" i="64"/>
  <c r="T22" i="64"/>
  <c r="O12" i="91" s="1"/>
  <c r="K38" i="64"/>
  <c r="P38" i="64"/>
  <c r="U38" i="64"/>
  <c r="L66" i="64"/>
  <c r="J89" i="64"/>
  <c r="L90" i="64"/>
  <c r="L95" i="64" s="1"/>
  <c r="E24" i="78"/>
  <c r="F21" i="78" s="1"/>
  <c r="F24" i="78" s="1"/>
  <c r="G21" i="78" s="1"/>
  <c r="G24" i="78" s="1"/>
  <c r="F53" i="78"/>
  <c r="F55" i="78" s="1"/>
  <c r="F57" i="78" s="1"/>
  <c r="F59" i="78" s="1"/>
  <c r="F60" i="78" s="1"/>
  <c r="D14" i="99"/>
  <c r="D16" i="99" s="1"/>
  <c r="L82" i="64"/>
  <c r="F13" i="66"/>
  <c r="J13" i="66"/>
  <c r="F53" i="64"/>
  <c r="K89" i="64"/>
  <c r="O89" i="64"/>
  <c r="E8" i="99"/>
  <c r="D13" i="99"/>
  <c r="F13" i="98"/>
  <c r="E9" i="96"/>
  <c r="D9" i="96"/>
  <c r="C9" i="96"/>
  <c r="C13" i="96" s="1"/>
  <c r="L53" i="64"/>
  <c r="K22" i="64"/>
  <c r="P22" i="64"/>
  <c r="E22" i="64"/>
  <c r="O22" i="64"/>
  <c r="J22" i="64"/>
  <c r="F38" i="64"/>
  <c r="H15" i="64"/>
  <c r="I15" i="64" s="1"/>
  <c r="G39" i="61"/>
  <c r="Q17" i="61"/>
  <c r="AE53" i="64" l="1"/>
  <c r="R17" i="61"/>
  <c r="O31" i="61" s="1"/>
  <c r="O34" i="61" s="1"/>
  <c r="S17" i="61"/>
  <c r="U17" i="61" s="1"/>
  <c r="H39" i="61"/>
  <c r="E52" i="61" s="1"/>
  <c r="E55" i="61" s="1"/>
  <c r="E56" i="61" s="1"/>
  <c r="F12" i="77" s="1"/>
  <c r="J39" i="61"/>
  <c r="M107" i="58"/>
  <c r="M20" i="58" s="1"/>
  <c r="L21" i="96" s="1"/>
  <c r="N11" i="65"/>
  <c r="H100" i="106"/>
  <c r="E107" i="106"/>
  <c r="I79" i="106"/>
  <c r="H183" i="106"/>
  <c r="AD79" i="106"/>
  <c r="I77" i="106"/>
  <c r="H181" i="106"/>
  <c r="AB77" i="106"/>
  <c r="AB181" i="106" s="1"/>
  <c r="AD76" i="106"/>
  <c r="AC76" i="106"/>
  <c r="AB76" i="106"/>
  <c r="AE76" i="106"/>
  <c r="AB102" i="106"/>
  <c r="AE102" i="106"/>
  <c r="AC102" i="106"/>
  <c r="AD102" i="106"/>
  <c r="AD103" i="106"/>
  <c r="AC103" i="106"/>
  <c r="AE103" i="106"/>
  <c r="AD104" i="106"/>
  <c r="AH104" i="106" s="1"/>
  <c r="AE104" i="106"/>
  <c r="Z49" i="106"/>
  <c r="E55" i="106"/>
  <c r="C179" i="106"/>
  <c r="E179" i="106" s="1"/>
  <c r="E75" i="106"/>
  <c r="H75" i="106" s="1"/>
  <c r="AE105" i="106"/>
  <c r="AG105" i="106" s="1"/>
  <c r="AG106" i="106"/>
  <c r="AH106" i="106"/>
  <c r="E24" i="106"/>
  <c r="C29" i="106"/>
  <c r="Z101" i="106"/>
  <c r="I101" i="106"/>
  <c r="C178" i="106"/>
  <c r="E74" i="106"/>
  <c r="C81" i="106"/>
  <c r="H184" i="106"/>
  <c r="AE80" i="106"/>
  <c r="AE184" i="106" s="1"/>
  <c r="I80" i="106"/>
  <c r="H182" i="106"/>
  <c r="I78" i="106"/>
  <c r="AC78" i="106"/>
  <c r="AC182" i="106" s="1"/>
  <c r="Y48" i="106"/>
  <c r="I48" i="106"/>
  <c r="D17" i="99"/>
  <c r="E17" i="99" s="1"/>
  <c r="H55" i="106"/>
  <c r="H14" i="58"/>
  <c r="H15" i="3"/>
  <c r="I15" i="3" s="1"/>
  <c r="E13" i="96"/>
  <c r="H22" i="58" s="1"/>
  <c r="I22" i="58" s="1"/>
  <c r="D13" i="96"/>
  <c r="E22" i="58" s="1"/>
  <c r="F22" i="58" s="1"/>
  <c r="H40" i="77"/>
  <c r="N80" i="58"/>
  <c r="N101" i="58" s="1"/>
  <c r="N105" i="58" s="1"/>
  <c r="N106" i="58" s="1"/>
  <c r="L12" i="65"/>
  <c r="N12" i="65" s="1"/>
  <c r="L10" i="65"/>
  <c r="M10" i="65"/>
  <c r="M14" i="65" s="1"/>
  <c r="M9" i="2" s="1"/>
  <c r="H12" i="91"/>
  <c r="I12" i="91" s="1"/>
  <c r="F82" i="64"/>
  <c r="E12" i="91"/>
  <c r="F12" i="91" s="1"/>
  <c r="M15" i="64"/>
  <c r="N15" i="64" s="1"/>
  <c r="AJ47" i="64" s="1"/>
  <c r="AI47" i="64"/>
  <c r="I10" i="65"/>
  <c r="I14" i="65" s="1"/>
  <c r="I25" i="96"/>
  <c r="K95" i="64"/>
  <c r="G82" i="64"/>
  <c r="K82" i="64"/>
  <c r="H10" i="69"/>
  <c r="H19" i="69" s="1"/>
  <c r="H21" i="69" s="1"/>
  <c r="H38" i="68"/>
  <c r="H40" i="68" s="1"/>
  <c r="F10" i="65"/>
  <c r="H33" i="67"/>
  <c r="H35" i="67" s="1"/>
  <c r="F12" i="65"/>
  <c r="F14" i="98"/>
  <c r="M12" i="91"/>
  <c r="N12" i="91" s="1"/>
  <c r="L12" i="91"/>
  <c r="AG103" i="106" l="1"/>
  <c r="L39" i="61"/>
  <c r="O39" i="61" s="1"/>
  <c r="V17" i="61"/>
  <c r="S31" i="61" s="1"/>
  <c r="S34" i="61" s="1"/>
  <c r="W17" i="61"/>
  <c r="Y17" i="61" s="1"/>
  <c r="AG76" i="106"/>
  <c r="AG104" i="106"/>
  <c r="AH103" i="106"/>
  <c r="AH102" i="106"/>
  <c r="AH105" i="106"/>
  <c r="AG102" i="106"/>
  <c r="AH76" i="106"/>
  <c r="N84" i="58"/>
  <c r="O80" i="58" s="1"/>
  <c r="O101" i="58" s="1"/>
  <c r="O105" i="58" s="1"/>
  <c r="O106" i="58" s="1"/>
  <c r="AH80" i="106"/>
  <c r="I184" i="106"/>
  <c r="AG80" i="106"/>
  <c r="AH49" i="106"/>
  <c r="AG49" i="106"/>
  <c r="AE79" i="106"/>
  <c r="AE183" i="106" s="1"/>
  <c r="I183" i="106"/>
  <c r="H24" i="106"/>
  <c r="E29" i="106"/>
  <c r="H74" i="106"/>
  <c r="E81" i="106"/>
  <c r="I75" i="106"/>
  <c r="Z75" i="106"/>
  <c r="Z179" i="106" s="1"/>
  <c r="H179" i="106"/>
  <c r="AC77" i="106"/>
  <c r="AC181" i="106" s="1"/>
  <c r="AE77" i="106"/>
  <c r="AE181" i="106" s="1"/>
  <c r="AD77" i="106"/>
  <c r="AD181" i="106" s="1"/>
  <c r="I181" i="106"/>
  <c r="AB101" i="106"/>
  <c r="AA101" i="106"/>
  <c r="AD101" i="106"/>
  <c r="AC101" i="106"/>
  <c r="AD47" i="64"/>
  <c r="AF47" i="64" s="1"/>
  <c r="AE78" i="106"/>
  <c r="AE182" i="106" s="1"/>
  <c r="AD78" i="106"/>
  <c r="AD182" i="106" s="1"/>
  <c r="I182" i="106"/>
  <c r="E178" i="106"/>
  <c r="AD183" i="106"/>
  <c r="Y100" i="106"/>
  <c r="I100" i="106"/>
  <c r="H107" i="106"/>
  <c r="AB48" i="106"/>
  <c r="AE48" i="106"/>
  <c r="AA48" i="106"/>
  <c r="AD48" i="106"/>
  <c r="Z48" i="106"/>
  <c r="AC48" i="106"/>
  <c r="I55" i="106"/>
  <c r="Y55" i="106"/>
  <c r="R15" i="64"/>
  <c r="S15" i="64" s="1"/>
  <c r="W15" i="64" s="1"/>
  <c r="D31" i="64" s="1"/>
  <c r="I40" i="77"/>
  <c r="L14" i="65"/>
  <c r="L9" i="2" s="1"/>
  <c r="N9" i="2" s="1"/>
  <c r="J12" i="77" s="1"/>
  <c r="N10" i="65"/>
  <c r="N14" i="65" s="1"/>
  <c r="O14" i="65" s="1"/>
  <c r="N17" i="101"/>
  <c r="F14" i="65"/>
  <c r="I9" i="2"/>
  <c r="F15" i="98"/>
  <c r="Z17" i="61" l="1"/>
  <c r="W31" i="61" s="1"/>
  <c r="W34" i="61" s="1"/>
  <c r="AA17" i="61"/>
  <c r="AC17" i="61" s="1"/>
  <c r="M39" i="61"/>
  <c r="J52" i="61" s="1"/>
  <c r="J55" i="61" s="1"/>
  <c r="J56" i="61" s="1"/>
  <c r="H12" i="77" s="1"/>
  <c r="Q39" i="61"/>
  <c r="S39" i="61" s="1"/>
  <c r="O84" i="58"/>
  <c r="P80" i="58" s="1"/>
  <c r="P101" i="58" s="1"/>
  <c r="P105" i="58" s="1"/>
  <c r="P106" i="58" s="1"/>
  <c r="AH79" i="106"/>
  <c r="AE101" i="106"/>
  <c r="AH101" i="106" s="1"/>
  <c r="AH181" i="106"/>
  <c r="Y74" i="106"/>
  <c r="I74" i="106"/>
  <c r="H81" i="106"/>
  <c r="H178" i="106"/>
  <c r="AH183" i="106"/>
  <c r="AG183" i="106"/>
  <c r="AH78" i="106"/>
  <c r="AG77" i="106"/>
  <c r="AD75" i="106"/>
  <c r="AD179" i="106" s="1"/>
  <c r="AA75" i="106"/>
  <c r="AA179" i="106" s="1"/>
  <c r="AB75" i="106"/>
  <c r="AB179" i="106" s="1"/>
  <c r="AE75" i="106"/>
  <c r="I179" i="106"/>
  <c r="AC75" i="106"/>
  <c r="AC179" i="106" s="1"/>
  <c r="H29" i="106"/>
  <c r="I24" i="106"/>
  <c r="AA24" i="106"/>
  <c r="AG184" i="106"/>
  <c r="AH184" i="106"/>
  <c r="N85" i="58"/>
  <c r="N87" i="58" s="1"/>
  <c r="N108" i="58" s="1"/>
  <c r="AG78" i="106"/>
  <c r="AA100" i="106"/>
  <c r="AD100" i="106"/>
  <c r="AE100" i="106"/>
  <c r="AC100" i="106"/>
  <c r="I107" i="106"/>
  <c r="AB100" i="106"/>
  <c r="Z100" i="106"/>
  <c r="AG182" i="106"/>
  <c r="AH182" i="106"/>
  <c r="AH77" i="106"/>
  <c r="AG181" i="106"/>
  <c r="AG79" i="106"/>
  <c r="AC55" i="106"/>
  <c r="Z55" i="106"/>
  <c r="AB55" i="106"/>
  <c r="AD55" i="106"/>
  <c r="AA55" i="106"/>
  <c r="AE55" i="106"/>
  <c r="AG48" i="106"/>
  <c r="AH48" i="106"/>
  <c r="AH55" i="106" s="1"/>
  <c r="AK47" i="64"/>
  <c r="P84" i="58"/>
  <c r="Q80" i="58" s="1"/>
  <c r="Q101" i="58" s="1"/>
  <c r="F9" i="2"/>
  <c r="E11" i="79" s="1"/>
  <c r="O85" i="58"/>
  <c r="O87" i="58" s="1"/>
  <c r="O108" i="58" s="1"/>
  <c r="O112" i="58" s="1"/>
  <c r="O114" i="58" s="1"/>
  <c r="H31" i="64"/>
  <c r="I31" i="64" s="1"/>
  <c r="AL47" i="64"/>
  <c r="D10" i="101"/>
  <c r="D12" i="101" s="1"/>
  <c r="E41" i="79"/>
  <c r="F16" i="98"/>
  <c r="AE179" i="106" l="1"/>
  <c r="AG179" i="106" s="1"/>
  <c r="AD17" i="61"/>
  <c r="AA31" i="61" s="1"/>
  <c r="AA34" i="61" s="1"/>
  <c r="AE17" i="61"/>
  <c r="U39" i="61"/>
  <c r="W39" i="61" s="1"/>
  <c r="AG101" i="106"/>
  <c r="R39" i="61"/>
  <c r="O52" i="61" s="1"/>
  <c r="O55" i="61" s="1"/>
  <c r="O56" i="61" s="1"/>
  <c r="Q84" i="58"/>
  <c r="Q85" i="58" s="1"/>
  <c r="Q87" i="58" s="1"/>
  <c r="Q108" i="58" s="1"/>
  <c r="Q112" i="58" s="1"/>
  <c r="Q114" i="58" s="1"/>
  <c r="P85" i="58"/>
  <c r="P87" i="58" s="1"/>
  <c r="P108" i="58" s="1"/>
  <c r="P112" i="58" s="1"/>
  <c r="P114" i="58" s="1"/>
  <c r="AH100" i="106"/>
  <c r="AG100" i="106"/>
  <c r="AH75" i="106"/>
  <c r="AC74" i="106"/>
  <c r="AA74" i="106"/>
  <c r="Z74" i="106"/>
  <c r="AD74" i="106"/>
  <c r="AB74" i="106"/>
  <c r="AE74" i="106"/>
  <c r="I81" i="106"/>
  <c r="I178" i="106"/>
  <c r="Y81" i="106"/>
  <c r="Y178" i="106"/>
  <c r="AB24" i="106"/>
  <c r="I29" i="106"/>
  <c r="AD24" i="106"/>
  <c r="AC24" i="106"/>
  <c r="AE24" i="106"/>
  <c r="AG75" i="106"/>
  <c r="N112" i="58"/>
  <c r="N114" i="58" s="1"/>
  <c r="N107" i="58"/>
  <c r="N20" i="58" s="1"/>
  <c r="M21" i="96" s="1"/>
  <c r="AA29" i="106"/>
  <c r="D5" i="101"/>
  <c r="D7" i="101" s="1"/>
  <c r="O107" i="58"/>
  <c r="O20" i="58" s="1"/>
  <c r="N21" i="96" s="1"/>
  <c r="G9" i="2"/>
  <c r="F11" i="79"/>
  <c r="M31" i="64"/>
  <c r="N31" i="64" s="1"/>
  <c r="AM47" i="64"/>
  <c r="Q105" i="58"/>
  <c r="Q106" i="58" s="1"/>
  <c r="Q107" i="58" s="1"/>
  <c r="Q20" i="58" s="1"/>
  <c r="P21" i="96" s="1"/>
  <c r="P107" i="58"/>
  <c r="P20" i="58" s="1"/>
  <c r="O21" i="96" s="1"/>
  <c r="AH179" i="106" l="1"/>
  <c r="V39" i="61"/>
  <c r="S52" i="61" s="1"/>
  <c r="S55" i="61" s="1"/>
  <c r="S56" i="61" s="1"/>
  <c r="P9" i="65" s="1"/>
  <c r="Y39" i="61"/>
  <c r="AA39" i="61" s="1"/>
  <c r="Z39" i="61"/>
  <c r="W52" i="61" s="1"/>
  <c r="W55" i="61" s="1"/>
  <c r="W56" i="61" s="1"/>
  <c r="Q9" i="65" s="1"/>
  <c r="AG17" i="61"/>
  <c r="AI17" i="61" s="1"/>
  <c r="AK17" i="61" s="1"/>
  <c r="AL17" i="61" s="1"/>
  <c r="AI31" i="61" s="1"/>
  <c r="AI34" i="61" s="1"/>
  <c r="AG74" i="106"/>
  <c r="AB81" i="106"/>
  <c r="AB178" i="106"/>
  <c r="AA81" i="106"/>
  <c r="AA178" i="106"/>
  <c r="AC81" i="106"/>
  <c r="AC178" i="106"/>
  <c r="AE29" i="106"/>
  <c r="AE81" i="106"/>
  <c r="AE178" i="106"/>
  <c r="AB29" i="106"/>
  <c r="AD81" i="106"/>
  <c r="AD178" i="106"/>
  <c r="AG24" i="106"/>
  <c r="AC29" i="106"/>
  <c r="AH24" i="106"/>
  <c r="AH29" i="106" s="1"/>
  <c r="AD29" i="106"/>
  <c r="AH74" i="106"/>
  <c r="AH81" i="106" s="1"/>
  <c r="Z81" i="106"/>
  <c r="Z178" i="106"/>
  <c r="R31" i="64"/>
  <c r="S31" i="64" s="1"/>
  <c r="AN47" i="64"/>
  <c r="Q14" i="65" l="1"/>
  <c r="Q9" i="2" s="1"/>
  <c r="F35" i="77" s="1"/>
  <c r="P14" i="65"/>
  <c r="P9" i="2" s="1"/>
  <c r="E35" i="77" s="1"/>
  <c r="AH17" i="61"/>
  <c r="AE31" i="61" s="1"/>
  <c r="AE34" i="61" s="1"/>
  <c r="AC39" i="61"/>
  <c r="AE39" i="61" s="1"/>
  <c r="AH178" i="106"/>
  <c r="AG178" i="106"/>
  <c r="W31" i="64"/>
  <c r="AO47" i="64"/>
  <c r="D63" i="79"/>
  <c r="D62" i="79" s="1"/>
  <c r="I62" i="79"/>
  <c r="H62" i="79"/>
  <c r="G62" i="79"/>
  <c r="F62" i="79"/>
  <c r="B42" i="79"/>
  <c r="B43" i="79" s="1"/>
  <c r="B44" i="79" s="1"/>
  <c r="B45" i="79" s="1"/>
  <c r="B46" i="79" s="1"/>
  <c r="B47" i="79" s="1"/>
  <c r="B48" i="79" s="1"/>
  <c r="B49" i="79" s="1"/>
  <c r="B50" i="79" s="1"/>
  <c r="B51" i="79" s="1"/>
  <c r="I47" i="79"/>
  <c r="I49" i="79" s="1"/>
  <c r="I54" i="79" s="1"/>
  <c r="I60" i="79" s="1"/>
  <c r="G47" i="79"/>
  <c r="G49" i="79" s="1"/>
  <c r="G54" i="79" s="1"/>
  <c r="G60" i="79" s="1"/>
  <c r="G68" i="79" s="1"/>
  <c r="D42" i="79"/>
  <c r="K14" i="2"/>
  <c r="H14" i="2"/>
  <c r="K13" i="2"/>
  <c r="H13" i="2"/>
  <c r="D45" i="79" s="1"/>
  <c r="I16" i="77"/>
  <c r="I18" i="77" s="1"/>
  <c r="K12" i="2" s="1"/>
  <c r="G16" i="77"/>
  <c r="G18" i="77" s="1"/>
  <c r="H12" i="2" s="1"/>
  <c r="D44" i="79" s="1"/>
  <c r="J16" i="58"/>
  <c r="G16" i="58"/>
  <c r="S14" i="91"/>
  <c r="R14" i="91"/>
  <c r="Q14" i="91"/>
  <c r="P14" i="91"/>
  <c r="O14" i="91"/>
  <c r="N14" i="91"/>
  <c r="M14" i="91"/>
  <c r="L14" i="91"/>
  <c r="L10" i="91" s="1"/>
  <c r="K14" i="91"/>
  <c r="K10" i="91" s="1"/>
  <c r="J14" i="91"/>
  <c r="J12" i="3" s="1"/>
  <c r="J14" i="3" s="1"/>
  <c r="I14" i="91"/>
  <c r="H14" i="91"/>
  <c r="G14" i="91"/>
  <c r="G12" i="3" s="1"/>
  <c r="G14" i="3" s="1"/>
  <c r="F14" i="91"/>
  <c r="E14" i="91"/>
  <c r="N55" i="61"/>
  <c r="I55" i="61"/>
  <c r="N31" i="61"/>
  <c r="N34" i="61" s="1"/>
  <c r="I31" i="61"/>
  <c r="I34" i="61" s="1"/>
  <c r="B10" i="2"/>
  <c r="B11" i="2" s="1"/>
  <c r="B12" i="2" s="1"/>
  <c r="B13" i="2" s="1"/>
  <c r="B14" i="2" s="1"/>
  <c r="B15" i="2" s="1"/>
  <c r="B16" i="2" s="1"/>
  <c r="B17" i="2" s="1"/>
  <c r="B18" i="2" s="1"/>
  <c r="B19" i="2" s="1"/>
  <c r="B20" i="2" s="1"/>
  <c r="B21" i="2" s="1"/>
  <c r="B22" i="2" s="1"/>
  <c r="B23" i="2" s="1"/>
  <c r="B24" i="2" s="1"/>
  <c r="E20" i="2"/>
  <c r="G20" i="2" s="1"/>
  <c r="E14" i="2"/>
  <c r="E13" i="2"/>
  <c r="E10" i="2"/>
  <c r="B2" i="88"/>
  <c r="B2" i="87"/>
  <c r="B2" i="86"/>
  <c r="B2" i="85"/>
  <c r="B2" i="84"/>
  <c r="B3" i="83"/>
  <c r="B2" i="82"/>
  <c r="B2" i="81"/>
  <c r="B2" i="80"/>
  <c r="J27" i="79"/>
  <c r="I27" i="79"/>
  <c r="H27" i="79"/>
  <c r="G27" i="79"/>
  <c r="E27" i="79"/>
  <c r="AD39" i="61" l="1"/>
  <c r="AA52" i="61" s="1"/>
  <c r="AA55" i="61" s="1"/>
  <c r="AA56" i="61" s="1"/>
  <c r="R9" i="65" s="1"/>
  <c r="R14" i="65" s="1"/>
  <c r="R9" i="2" s="1"/>
  <c r="G35" i="77" s="1"/>
  <c r="I68" i="79"/>
  <c r="I56" i="61"/>
  <c r="AG39" i="61"/>
  <c r="AI39" i="61" s="1"/>
  <c r="AK39" i="61" s="1"/>
  <c r="AL39" i="61" s="1"/>
  <c r="AI52" i="61" s="1"/>
  <c r="AI55" i="61" s="1"/>
  <c r="AI56" i="61" s="1"/>
  <c r="T9" i="65" s="1"/>
  <c r="AH39" i="61"/>
  <c r="AE52" i="61" s="1"/>
  <c r="AE55" i="61" s="1"/>
  <c r="AE56" i="61" s="1"/>
  <c r="S9" i="65" s="1"/>
  <c r="N56" i="61"/>
  <c r="K14" i="65" s="1"/>
  <c r="K9" i="2" s="1"/>
  <c r="O9" i="2" s="1"/>
  <c r="E10" i="91"/>
  <c r="F10" i="91" s="1"/>
  <c r="E12" i="3"/>
  <c r="E15" i="58"/>
  <c r="K12" i="3"/>
  <c r="K15" i="58"/>
  <c r="Q10" i="91"/>
  <c r="F35" i="3"/>
  <c r="F36" i="3" s="1"/>
  <c r="O15" i="58"/>
  <c r="R10" i="91"/>
  <c r="G35" i="3"/>
  <c r="G36" i="3" s="1"/>
  <c r="P15" i="58"/>
  <c r="D35" i="3"/>
  <c r="D36" i="3" s="1"/>
  <c r="M15" i="58"/>
  <c r="S10" i="91"/>
  <c r="H35" i="3"/>
  <c r="H36" i="3" s="1"/>
  <c r="Q15" i="58"/>
  <c r="H10" i="91"/>
  <c r="I10" i="91" s="1"/>
  <c r="H12" i="3"/>
  <c r="H15" i="58"/>
  <c r="P10" i="91"/>
  <c r="E35" i="3"/>
  <c r="E36" i="3" s="1"/>
  <c r="N15" i="58"/>
  <c r="B52" i="79"/>
  <c r="B53" i="79" s="1"/>
  <c r="B54" i="79" s="1"/>
  <c r="B55" i="79" s="1"/>
  <c r="B56" i="79" s="1"/>
  <c r="B57" i="79" s="1"/>
  <c r="B58" i="79" s="1"/>
  <c r="B25" i="2"/>
  <c r="B26" i="2" s="1"/>
  <c r="B27" i="2" s="1"/>
  <c r="B28" i="2" s="1"/>
  <c r="B29" i="2" s="1"/>
  <c r="B30" i="2" s="1"/>
  <c r="B31" i="2" s="1"/>
  <c r="B32" i="2" s="1"/>
  <c r="B33" i="2" s="1"/>
  <c r="B34" i="2" s="1"/>
  <c r="B35" i="2" s="1"/>
  <c r="D46" i="79"/>
  <c r="D16" i="58"/>
  <c r="D17" i="58" s="1"/>
  <c r="M10" i="91"/>
  <c r="N10" i="91" s="1"/>
  <c r="B12" i="79"/>
  <c r="B13" i="79" s="1"/>
  <c r="B14" i="79" s="1"/>
  <c r="B15" i="79" s="1"/>
  <c r="B16" i="79" s="1"/>
  <c r="B17" i="79" s="1"/>
  <c r="B18" i="79" s="1"/>
  <c r="B19" i="79" s="1"/>
  <c r="B20" i="79" s="1"/>
  <c r="B21" i="79" s="1"/>
  <c r="I17" i="79"/>
  <c r="I19" i="79" s="1"/>
  <c r="G17" i="79"/>
  <c r="G19" i="79" s="1"/>
  <c r="D16" i="79"/>
  <c r="D15" i="79"/>
  <c r="B2" i="79"/>
  <c r="B2" i="94"/>
  <c r="N14" i="90"/>
  <c r="M14" i="90"/>
  <c r="L14" i="90"/>
  <c r="K14" i="90"/>
  <c r="J14" i="90"/>
  <c r="I14" i="90"/>
  <c r="H14" i="90"/>
  <c r="G14" i="90"/>
  <c r="F14" i="90"/>
  <c r="E14" i="90"/>
  <c r="D14" i="90"/>
  <c r="D28" i="79" s="1"/>
  <c r="B2" i="90"/>
  <c r="D14" i="76"/>
  <c r="G9" i="76" s="1"/>
  <c r="G14" i="76" s="1"/>
  <c r="B2" i="76"/>
  <c r="B2" i="78"/>
  <c r="J22" i="14"/>
  <c r="K18" i="2" s="1"/>
  <c r="G22" i="14"/>
  <c r="H18" i="2" s="1"/>
  <c r="D50" i="79" s="1"/>
  <c r="F22" i="14"/>
  <c r="E22" i="14"/>
  <c r="D22" i="14"/>
  <c r="E18" i="2" s="1"/>
  <c r="B2" i="14"/>
  <c r="D19" i="3"/>
  <c r="J20" i="3"/>
  <c r="G20" i="3"/>
  <c r="F19" i="3"/>
  <c r="E19" i="3"/>
  <c r="D12" i="3"/>
  <c r="D14" i="3" s="1"/>
  <c r="B2" i="3"/>
  <c r="B26" i="3" s="1"/>
  <c r="E16" i="77"/>
  <c r="E18" i="77" s="1"/>
  <c r="B2" i="77"/>
  <c r="B2" i="58"/>
  <c r="D76" i="64"/>
  <c r="H76" i="64" s="1"/>
  <c r="I76" i="64" s="1"/>
  <c r="M76" i="64" s="1"/>
  <c r="N76" i="64" s="1"/>
  <c r="R76" i="64" s="1"/>
  <c r="S76" i="64" s="1"/>
  <c r="W76" i="64" s="1"/>
  <c r="S14" i="65" l="1"/>
  <c r="S9" i="2" s="1"/>
  <c r="H35" i="77" s="1"/>
  <c r="T14" i="65"/>
  <c r="T9" i="2" s="1"/>
  <c r="I35" i="77" s="1"/>
  <c r="J14" i="77"/>
  <c r="F5" i="104"/>
  <c r="H15" i="104" s="1"/>
  <c r="D20" i="79"/>
  <c r="I33" i="79"/>
  <c r="I25" i="79"/>
  <c r="B59" i="79"/>
  <c r="B60" i="79" s="1"/>
  <c r="B62" i="79" s="1"/>
  <c r="B68" i="79" s="1"/>
  <c r="G25" i="79"/>
  <c r="G33" i="79" s="1"/>
  <c r="H14" i="65"/>
  <c r="C10" i="101"/>
  <c r="E10" i="101" s="1"/>
  <c r="D16" i="3"/>
  <c r="G11" i="3" s="1"/>
  <c r="G19" i="3" s="1"/>
  <c r="G21" i="3" s="1"/>
  <c r="H16" i="2" s="1"/>
  <c r="D20" i="3"/>
  <c r="D21" i="3" s="1"/>
  <c r="E16" i="2" s="1"/>
  <c r="F18" i="2"/>
  <c r="E20" i="79" s="1"/>
  <c r="D89" i="64"/>
  <c r="H89" i="64" s="1"/>
  <c r="I89" i="64" s="1"/>
  <c r="M89" i="64" s="1"/>
  <c r="N89" i="64" s="1"/>
  <c r="R89" i="64" s="1"/>
  <c r="S89" i="64" s="1"/>
  <c r="W89" i="64" s="1"/>
  <c r="F14" i="77"/>
  <c r="D5" i="104"/>
  <c r="F15" i="104" s="1"/>
  <c r="H14" i="77"/>
  <c r="E5" i="104"/>
  <c r="G15" i="104" s="1"/>
  <c r="E63" i="79"/>
  <c r="L15" i="58"/>
  <c r="F12" i="3"/>
  <c r="F14" i="3" s="1"/>
  <c r="E14" i="3"/>
  <c r="N18" i="101"/>
  <c r="I15" i="58"/>
  <c r="M18" i="101"/>
  <c r="F15" i="58"/>
  <c r="I12" i="3"/>
  <c r="I14" i="3" s="1"/>
  <c r="I20" i="3" s="1"/>
  <c r="H14" i="3"/>
  <c r="H20" i="3" s="1"/>
  <c r="L12" i="3"/>
  <c r="L14" i="3" s="1"/>
  <c r="L20" i="3" s="1"/>
  <c r="K14" i="3"/>
  <c r="K20" i="3" s="1"/>
  <c r="D27" i="79"/>
  <c r="F28" i="79"/>
  <c r="F27" i="79" s="1"/>
  <c r="F11" i="58"/>
  <c r="E18" i="58"/>
  <c r="H11" i="58" s="1"/>
  <c r="E13" i="58"/>
  <c r="M16" i="101" s="1"/>
  <c r="F12" i="58"/>
  <c r="G12" i="58"/>
  <c r="J12" i="58" s="1"/>
  <c r="J9" i="76"/>
  <c r="J14" i="76" s="1"/>
  <c r="E12" i="2"/>
  <c r="D14" i="79"/>
  <c r="B22" i="79"/>
  <c r="B23" i="79" s="1"/>
  <c r="B24" i="79" s="1"/>
  <c r="B25" i="79" s="1"/>
  <c r="D18" i="58"/>
  <c r="G11" i="58" s="1"/>
  <c r="G18" i="58" s="1"/>
  <c r="J11" i="58" s="1"/>
  <c r="J18" i="58" s="1"/>
  <c r="B4" i="64"/>
  <c r="B2" i="74"/>
  <c r="B3" i="73"/>
  <c r="B2" i="72"/>
  <c r="B2" i="91"/>
  <c r="B2" i="69"/>
  <c r="B2" i="68"/>
  <c r="B2" i="67"/>
  <c r="B2" i="66"/>
  <c r="B3" i="61"/>
  <c r="D14" i="91"/>
  <c r="D55" i="61"/>
  <c r="D31" i="61"/>
  <c r="D34" i="61" s="1"/>
  <c r="D18" i="79" l="1"/>
  <c r="F10" i="101"/>
  <c r="G10" i="101" s="1"/>
  <c r="F20" i="79"/>
  <c r="G18" i="2"/>
  <c r="D56" i="61"/>
  <c r="G16" i="3"/>
  <c r="J11" i="3" s="1"/>
  <c r="J19" i="3" s="1"/>
  <c r="J21" i="3" s="1"/>
  <c r="K16" i="2" s="1"/>
  <c r="H9" i="2"/>
  <c r="J14" i="65"/>
  <c r="J20" i="79"/>
  <c r="AH52" i="64"/>
  <c r="E52" i="64" s="1"/>
  <c r="E81" i="64" s="1"/>
  <c r="J63" i="79"/>
  <c r="J62" i="79" s="1"/>
  <c r="E62" i="79"/>
  <c r="F18" i="58"/>
  <c r="E16" i="3"/>
  <c r="H11" i="3" s="1"/>
  <c r="E20" i="3"/>
  <c r="E21" i="3" s="1"/>
  <c r="F16" i="2" s="1"/>
  <c r="E18" i="79" s="1"/>
  <c r="F20" i="3"/>
  <c r="F21" i="3" s="1"/>
  <c r="F16" i="3"/>
  <c r="G13" i="58"/>
  <c r="D19" i="58"/>
  <c r="D21" i="58" s="1"/>
  <c r="F13" i="58"/>
  <c r="I15" i="96"/>
  <c r="I11" i="58"/>
  <c r="I18" i="58" s="1"/>
  <c r="H18" i="58"/>
  <c r="K11" i="58" s="1"/>
  <c r="H20" i="64"/>
  <c r="I20" i="64" s="1"/>
  <c r="M20" i="64" s="1"/>
  <c r="D81" i="64"/>
  <c r="D48" i="79"/>
  <c r="B27" i="79"/>
  <c r="B33" i="79" s="1"/>
  <c r="J16" i="3" l="1"/>
  <c r="E14" i="65"/>
  <c r="G14" i="65" s="1"/>
  <c r="C5" i="101"/>
  <c r="H11" i="79"/>
  <c r="J11" i="79" s="1"/>
  <c r="K11" i="79" s="1"/>
  <c r="J9" i="2"/>
  <c r="D41" i="79"/>
  <c r="F41" i="79" s="1"/>
  <c r="H41" i="79" s="1"/>
  <c r="J41" i="79" s="1"/>
  <c r="K20" i="79"/>
  <c r="J18" i="79"/>
  <c r="G17" i="58"/>
  <c r="J13" i="58" s="1"/>
  <c r="H81" i="64"/>
  <c r="I81" i="64" s="1"/>
  <c r="H52" i="64"/>
  <c r="I52" i="64" s="1"/>
  <c r="AI52" i="64" s="1"/>
  <c r="J52" i="64" s="1"/>
  <c r="J81" i="64" s="1"/>
  <c r="G16" i="2"/>
  <c r="H19" i="3"/>
  <c r="H21" i="3" s="1"/>
  <c r="I16" i="2" s="1"/>
  <c r="I11" i="3"/>
  <c r="H16" i="3"/>
  <c r="K11" i="3" s="1"/>
  <c r="F18" i="79"/>
  <c r="N20" i="64"/>
  <c r="M24" i="101"/>
  <c r="H10" i="101"/>
  <c r="L11" i="58"/>
  <c r="L18" i="58" s="1"/>
  <c r="K18" i="58"/>
  <c r="M11" i="58" s="1"/>
  <c r="M18" i="58" s="1"/>
  <c r="N11" i="58" s="1"/>
  <c r="N18" i="58" s="1"/>
  <c r="O11" i="58" s="1"/>
  <c r="O18" i="58" s="1"/>
  <c r="P11" i="58" s="1"/>
  <c r="P18" i="58" s="1"/>
  <c r="Q11" i="58" s="1"/>
  <c r="Q18" i="58" s="1"/>
  <c r="D23" i="58"/>
  <c r="E5" i="101" l="1"/>
  <c r="F5" i="101"/>
  <c r="G5" i="101" s="1"/>
  <c r="H5" i="101" s="1"/>
  <c r="G19" i="58"/>
  <c r="G21" i="58" s="1"/>
  <c r="G23" i="58" s="1"/>
  <c r="H11" i="2" s="1"/>
  <c r="H15" i="2" s="1"/>
  <c r="H17" i="2" s="1"/>
  <c r="H24" i="2" s="1"/>
  <c r="M81" i="64"/>
  <c r="N81" i="64" s="1"/>
  <c r="K18" i="79"/>
  <c r="J17" i="58"/>
  <c r="J19" i="58" s="1"/>
  <c r="J21" i="58" s="1"/>
  <c r="J23" i="58" s="1"/>
  <c r="K11" i="2" s="1"/>
  <c r="K15" i="2" s="1"/>
  <c r="K17" i="2" s="1"/>
  <c r="L11" i="3"/>
  <c r="K19" i="3"/>
  <c r="K21" i="3" s="1"/>
  <c r="N16" i="2" s="1"/>
  <c r="K16" i="3"/>
  <c r="D34" i="3" s="1"/>
  <c r="D38" i="3" s="1"/>
  <c r="E34" i="3" s="1"/>
  <c r="E38" i="3" s="1"/>
  <c r="F34" i="3" s="1"/>
  <c r="F38" i="3" s="1"/>
  <c r="G34" i="3" s="1"/>
  <c r="G38" i="3" s="1"/>
  <c r="H34" i="3" s="1"/>
  <c r="H38" i="3" s="1"/>
  <c r="I19" i="3"/>
  <c r="I21" i="3" s="1"/>
  <c r="I16" i="3"/>
  <c r="E48" i="79"/>
  <c r="J16" i="2"/>
  <c r="M52" i="64"/>
  <c r="N52" i="64" s="1"/>
  <c r="AJ52" i="64" s="1"/>
  <c r="O52" i="64" s="1"/>
  <c r="R20" i="64"/>
  <c r="S20" i="64" s="1"/>
  <c r="AD52" i="64"/>
  <c r="AF52" i="64" s="1"/>
  <c r="N24" i="101"/>
  <c r="D13" i="79"/>
  <c r="E11" i="2"/>
  <c r="D43" i="79" l="1"/>
  <c r="H35" i="2"/>
  <c r="AH51" i="64"/>
  <c r="E51" i="64" s="1"/>
  <c r="E80" i="64" s="1"/>
  <c r="AH50" i="64"/>
  <c r="E50" i="64" s="1"/>
  <c r="E79" i="64" s="1"/>
  <c r="AH49" i="64"/>
  <c r="E49" i="64" s="1"/>
  <c r="E78" i="64" s="1"/>
  <c r="D48" i="64"/>
  <c r="J48" i="79"/>
  <c r="F48" i="79"/>
  <c r="M16" i="2"/>
  <c r="L16" i="2"/>
  <c r="O16" i="2"/>
  <c r="L19" i="3"/>
  <c r="L21" i="3" s="1"/>
  <c r="L16" i="3"/>
  <c r="W20" i="64"/>
  <c r="D36" i="64" s="1"/>
  <c r="D47" i="79"/>
  <c r="D49" i="79" s="1"/>
  <c r="D54" i="79" s="1"/>
  <c r="K24" i="2"/>
  <c r="K35" i="2" s="1"/>
  <c r="D17" i="79"/>
  <c r="D19" i="79" s="1"/>
  <c r="D25" i="79" s="1"/>
  <c r="E15" i="2"/>
  <c r="E17" i="2" s="1"/>
  <c r="H18" i="64"/>
  <c r="I18" i="64" s="1"/>
  <c r="M18" i="64" s="1"/>
  <c r="D79" i="64"/>
  <c r="H19" i="64"/>
  <c r="I19" i="64" s="1"/>
  <c r="M19" i="64" s="1"/>
  <c r="D80" i="64"/>
  <c r="H17" i="64"/>
  <c r="I17" i="64" s="1"/>
  <c r="M17" i="64" s="1"/>
  <c r="D78" i="64"/>
  <c r="H50" i="64" l="1"/>
  <c r="I50" i="64" s="1"/>
  <c r="AI50" i="64" s="1"/>
  <c r="J50" i="64" s="1"/>
  <c r="J79" i="64" s="1"/>
  <c r="H51" i="64"/>
  <c r="I51" i="64" s="1"/>
  <c r="AI51" i="64" s="1"/>
  <c r="J51" i="64" s="1"/>
  <c r="J80" i="64" s="1"/>
  <c r="H80" i="64"/>
  <c r="I80" i="64" s="1"/>
  <c r="H49" i="64"/>
  <c r="I49" i="64" s="1"/>
  <c r="AI49" i="64" s="1"/>
  <c r="J49" i="64" s="1"/>
  <c r="AH48" i="64"/>
  <c r="E48" i="64" s="1"/>
  <c r="E53" i="64" s="1"/>
  <c r="H78" i="64"/>
  <c r="I78" i="64" s="1"/>
  <c r="H79" i="64"/>
  <c r="I79" i="64" s="1"/>
  <c r="D60" i="79"/>
  <c r="D68" i="79" s="1"/>
  <c r="N19" i="64"/>
  <c r="N17" i="64"/>
  <c r="H36" i="64"/>
  <c r="I36" i="64" s="1"/>
  <c r="N18" i="64"/>
  <c r="E24" i="2"/>
  <c r="E35" i="2" s="1"/>
  <c r="D33" i="79"/>
  <c r="D22" i="64"/>
  <c r="H16" i="64"/>
  <c r="B2" i="2"/>
  <c r="B2" i="65" s="1"/>
  <c r="M80" i="64" l="1"/>
  <c r="N80" i="64" s="1"/>
  <c r="M79" i="64"/>
  <c r="N79" i="64" s="1"/>
  <c r="E77" i="64"/>
  <c r="E82" i="64" s="1"/>
  <c r="M51" i="64"/>
  <c r="N51" i="64" s="1"/>
  <c r="AJ51" i="64" s="1"/>
  <c r="O51" i="64" s="1"/>
  <c r="M36" i="64"/>
  <c r="N36" i="64" s="1"/>
  <c r="R19" i="64"/>
  <c r="S19" i="64" s="1"/>
  <c r="AD51" i="64"/>
  <c r="AF51" i="64" s="1"/>
  <c r="D10" i="76"/>
  <c r="D11" i="76" s="1"/>
  <c r="E10" i="76"/>
  <c r="F13" i="77"/>
  <c r="F16" i="77" s="1"/>
  <c r="F18" i="77" s="1"/>
  <c r="F12" i="2" s="1"/>
  <c r="F10" i="2"/>
  <c r="R18" i="64"/>
  <c r="S18" i="64" s="1"/>
  <c r="AD50" i="64"/>
  <c r="AF50" i="64" s="1"/>
  <c r="R17" i="64"/>
  <c r="S17" i="64" s="1"/>
  <c r="AD49" i="64"/>
  <c r="AF49" i="64" s="1"/>
  <c r="J78" i="64"/>
  <c r="M78" i="64" s="1"/>
  <c r="N78" i="64" s="1"/>
  <c r="M49" i="64"/>
  <c r="N49" i="64" s="1"/>
  <c r="AJ49" i="64" s="1"/>
  <c r="O49" i="64" s="1"/>
  <c r="M50" i="64"/>
  <c r="N50" i="64" s="1"/>
  <c r="AJ50" i="64" s="1"/>
  <c r="O50" i="64" s="1"/>
  <c r="I16" i="64"/>
  <c r="M16" i="64" s="1"/>
  <c r="H22" i="64"/>
  <c r="B93" i="78"/>
  <c r="B94" i="78" s="1"/>
  <c r="B44" i="3"/>
  <c r="B45" i="3" s="1"/>
  <c r="B35" i="3"/>
  <c r="B36" i="3" s="1"/>
  <c r="B37" i="3" s="1"/>
  <c r="B38" i="3" s="1"/>
  <c r="B12" i="91"/>
  <c r="B13" i="91" s="1"/>
  <c r="B14" i="91" s="1"/>
  <c r="B10" i="76"/>
  <c r="B11" i="76" s="1"/>
  <c r="B12" i="76" s="1"/>
  <c r="D15" i="76" l="1"/>
  <c r="R36" i="64"/>
  <c r="S36" i="64" s="1"/>
  <c r="C154" i="106" s="1"/>
  <c r="C6" i="101"/>
  <c r="E14" i="79"/>
  <c r="G12" i="2"/>
  <c r="E16" i="58"/>
  <c r="E17" i="58" s="1"/>
  <c r="E12" i="79"/>
  <c r="G10" i="2"/>
  <c r="W18" i="64"/>
  <c r="D34" i="64" s="1"/>
  <c r="H34" i="64" s="1"/>
  <c r="I34" i="64" s="1"/>
  <c r="M34" i="64" s="1"/>
  <c r="N34" i="64" s="1"/>
  <c r="R34" i="64" s="1"/>
  <c r="S34" i="64" s="1"/>
  <c r="W34" i="64" s="1"/>
  <c r="H108" i="106" s="1"/>
  <c r="G10" i="76"/>
  <c r="W17" i="64"/>
  <c r="D33" i="64" s="1"/>
  <c r="E12" i="76"/>
  <c r="F10" i="76"/>
  <c r="E11" i="76"/>
  <c r="F11" i="76" s="1"/>
  <c r="H10" i="76"/>
  <c r="K10" i="76" s="1"/>
  <c r="W19" i="64"/>
  <c r="D35" i="64" s="1"/>
  <c r="I22" i="64"/>
  <c r="T39" i="88"/>
  <c r="B76" i="78"/>
  <c r="B77" i="78" s="1"/>
  <c r="B78" i="78" s="1"/>
  <c r="B79" i="78" s="1"/>
  <c r="B80" i="78" s="1"/>
  <c r="B68" i="78"/>
  <c r="B69" i="78" s="1"/>
  <c r="B70" i="78" s="1"/>
  <c r="B71" i="78" s="1"/>
  <c r="B72" i="78" s="1"/>
  <c r="B73" i="78" s="1"/>
  <c r="B64" i="78"/>
  <c r="B65" i="78" s="1"/>
  <c r="B60" i="78"/>
  <c r="B44" i="78"/>
  <c r="B45" i="78" s="1"/>
  <c r="B46" i="78" s="1"/>
  <c r="B47" i="78" s="1"/>
  <c r="B48" i="78" s="1"/>
  <c r="B49" i="78" s="1"/>
  <c r="B40" i="78"/>
  <c r="B41" i="78" s="1"/>
  <c r="B34" i="78"/>
  <c r="B35" i="78" s="1"/>
  <c r="B23" i="77"/>
  <c r="B24" i="77" s="1"/>
  <c r="B44" i="77"/>
  <c r="B45" i="77" s="1"/>
  <c r="B36" i="77"/>
  <c r="B37" i="77" s="1"/>
  <c r="B38" i="77" s="1"/>
  <c r="B39" i="77" s="1"/>
  <c r="B40" i="77" s="1"/>
  <c r="B41" i="77" s="1"/>
  <c r="B13" i="77"/>
  <c r="B14" i="77" s="1"/>
  <c r="B15" i="77" s="1"/>
  <c r="B16" i="77" s="1"/>
  <c r="B17" i="77" s="1"/>
  <c r="B18" i="77" s="1"/>
  <c r="B101" i="58"/>
  <c r="B102" i="58" s="1"/>
  <c r="B103" i="58" s="1"/>
  <c r="B104" i="58" s="1"/>
  <c r="B105" i="58" s="1"/>
  <c r="B106" i="58" s="1"/>
  <c r="B107" i="58" s="1"/>
  <c r="B108" i="58" s="1"/>
  <c r="B90" i="58"/>
  <c r="B91" i="58" s="1"/>
  <c r="B81" i="58"/>
  <c r="B82" i="58" s="1"/>
  <c r="B83" i="58" s="1"/>
  <c r="B84" i="58" s="1"/>
  <c r="B85" i="58" s="1"/>
  <c r="B86" i="58" s="1"/>
  <c r="B87" i="58" s="1"/>
  <c r="B60" i="58"/>
  <c r="B61" i="58" s="1"/>
  <c r="B62" i="58" s="1"/>
  <c r="B63" i="58" s="1"/>
  <c r="B64" i="58" s="1"/>
  <c r="B65" i="58" s="1"/>
  <c r="B66" i="58" s="1"/>
  <c r="B42" i="58"/>
  <c r="B43" i="58" s="1"/>
  <c r="B44" i="58" s="1"/>
  <c r="B45" i="58" s="1"/>
  <c r="B46" i="58" s="1"/>
  <c r="B47" i="58" s="1"/>
  <c r="B48" i="58" s="1"/>
  <c r="B33" i="58"/>
  <c r="B34" i="58" s="1"/>
  <c r="B35" i="58" s="1"/>
  <c r="B36" i="58" s="1"/>
  <c r="B37" i="58" s="1"/>
  <c r="B38" i="58" s="1"/>
  <c r="B39" i="58" s="1"/>
  <c r="B12" i="58"/>
  <c r="B13" i="58" s="1"/>
  <c r="B14" i="58" s="1"/>
  <c r="B15" i="58" s="1"/>
  <c r="B16" i="58" s="1"/>
  <c r="B17" i="58" s="1"/>
  <c r="B18" i="58" s="1"/>
  <c r="B69" i="67"/>
  <c r="B70" i="67" s="1"/>
  <c r="B71" i="67" s="1"/>
  <c r="B72" i="67" s="1"/>
  <c r="B63" i="67"/>
  <c r="B64" i="67" s="1"/>
  <c r="B65" i="67" s="1"/>
  <c r="B66" i="67" s="1"/>
  <c r="B57" i="67"/>
  <c r="B58" i="67" s="1"/>
  <c r="B59" i="67" s="1"/>
  <c r="B60" i="67" s="1"/>
  <c r="B51" i="67"/>
  <c r="B52" i="67" s="1"/>
  <c r="B53" i="67" s="1"/>
  <c r="B54" i="67" s="1"/>
  <c r="B13" i="76"/>
  <c r="B14" i="76" s="1"/>
  <c r="B15" i="76" s="1"/>
  <c r="B92" i="58" l="1"/>
  <c r="B93" i="58" s="1"/>
  <c r="B94" i="58" s="1"/>
  <c r="B95" i="58" s="1"/>
  <c r="B96" i="58" s="1"/>
  <c r="B97" i="58" s="1"/>
  <c r="C159" i="106"/>
  <c r="E154" i="106"/>
  <c r="C180" i="106"/>
  <c r="H13" i="77"/>
  <c r="M22" i="64"/>
  <c r="I10" i="76"/>
  <c r="H12" i="76"/>
  <c r="G11" i="76"/>
  <c r="J10" i="76"/>
  <c r="G15" i="76"/>
  <c r="J12" i="79"/>
  <c r="F12" i="79"/>
  <c r="H14" i="79"/>
  <c r="J14" i="79" s="1"/>
  <c r="F14" i="79"/>
  <c r="M19" i="101"/>
  <c r="M20" i="101" s="1"/>
  <c r="I16" i="96"/>
  <c r="F16" i="58"/>
  <c r="H12" i="58"/>
  <c r="E19" i="58"/>
  <c r="E21" i="58" s="1"/>
  <c r="F6" i="101"/>
  <c r="E6" i="101"/>
  <c r="E7" i="101" s="1"/>
  <c r="C7" i="101"/>
  <c r="H35" i="64"/>
  <c r="I35" i="64" s="1"/>
  <c r="F14" i="2"/>
  <c r="G9" i="98"/>
  <c r="F12" i="76"/>
  <c r="F14" i="76" s="1"/>
  <c r="F15" i="76" s="1"/>
  <c r="E14" i="76"/>
  <c r="W36" i="64"/>
  <c r="H33" i="64"/>
  <c r="I33" i="64" s="1"/>
  <c r="N16" i="64"/>
  <c r="B10" i="44"/>
  <c r="B11" i="44" s="1"/>
  <c r="B12" i="44" s="1"/>
  <c r="B13" i="44" s="1"/>
  <c r="B14" i="44" s="1"/>
  <c r="B15" i="44" s="1"/>
  <c r="E180" i="106" l="1"/>
  <c r="E185" i="106" s="1"/>
  <c r="C185" i="106"/>
  <c r="H154" i="106"/>
  <c r="E159" i="106"/>
  <c r="I17" i="96"/>
  <c r="J15" i="96" s="1"/>
  <c r="J16" i="96"/>
  <c r="K16" i="96" s="1"/>
  <c r="L16" i="96" s="1"/>
  <c r="M16" i="96" s="1"/>
  <c r="N16" i="96" s="1"/>
  <c r="O16" i="96" s="1"/>
  <c r="P16" i="96" s="1"/>
  <c r="K14" i="79"/>
  <c r="K12" i="79"/>
  <c r="F17" i="58"/>
  <c r="F19" i="58" s="1"/>
  <c r="H16" i="77"/>
  <c r="H18" i="77" s="1"/>
  <c r="I12" i="2" s="1"/>
  <c r="M35" i="64"/>
  <c r="N35" i="64" s="1"/>
  <c r="I12" i="58"/>
  <c r="H13" i="58"/>
  <c r="N9" i="98"/>
  <c r="K9" i="98"/>
  <c r="J9" i="98"/>
  <c r="L9" i="98"/>
  <c r="I9" i="98"/>
  <c r="I17" i="98" s="1"/>
  <c r="H12" i="14" s="1"/>
  <c r="O9" i="98"/>
  <c r="M9" i="98"/>
  <c r="M33" i="64"/>
  <c r="N33" i="64" s="1"/>
  <c r="E16" i="79"/>
  <c r="G14" i="2"/>
  <c r="G6" i="101"/>
  <c r="F7" i="101"/>
  <c r="F22" i="2"/>
  <c r="G22" i="2" s="1"/>
  <c r="H17" i="79"/>
  <c r="H19" i="79" s="1"/>
  <c r="J15" i="76"/>
  <c r="J11" i="76"/>
  <c r="AD48" i="64"/>
  <c r="M10" i="76"/>
  <c r="L10" i="76"/>
  <c r="K12" i="76"/>
  <c r="G10" i="98"/>
  <c r="I14" i="2"/>
  <c r="I12" i="76"/>
  <c r="E15" i="76"/>
  <c r="H9" i="76"/>
  <c r="E23" i="58"/>
  <c r="F11" i="2" s="1"/>
  <c r="F21" i="58"/>
  <c r="F23" i="58" s="1"/>
  <c r="N16" i="101"/>
  <c r="M21" i="101"/>
  <c r="R16" i="64"/>
  <c r="N22" i="64"/>
  <c r="J13" i="77" s="1"/>
  <c r="J16" i="77" s="1"/>
  <c r="J18" i="77" s="1"/>
  <c r="N12" i="2" s="1"/>
  <c r="B16" i="44"/>
  <c r="B17" i="44" s="1"/>
  <c r="B18" i="44" s="1"/>
  <c r="B19" i="44" s="1"/>
  <c r="B20" i="44" s="1"/>
  <c r="B21" i="44" s="1"/>
  <c r="B22" i="44" s="1"/>
  <c r="B23" i="44" s="1"/>
  <c r="B24" i="44" s="1"/>
  <c r="B26" i="44" s="1"/>
  <c r="B27" i="44" s="1"/>
  <c r="B28" i="44" s="1"/>
  <c r="B29" i="44" s="1"/>
  <c r="B11" i="69"/>
  <c r="B12" i="69" s="1"/>
  <c r="B13" i="69" s="1"/>
  <c r="B14" i="69" s="1"/>
  <c r="B15" i="69" s="1"/>
  <c r="B16" i="69" s="1"/>
  <c r="B17" i="69" s="1"/>
  <c r="B18" i="69" s="1"/>
  <c r="B19" i="69" s="1"/>
  <c r="B20" i="69" s="1"/>
  <c r="B21" i="69" s="1"/>
  <c r="J17" i="96" l="1"/>
  <c r="I18" i="96"/>
  <c r="I22" i="96" s="1"/>
  <c r="AA154" i="106"/>
  <c r="I154" i="106"/>
  <c r="H159" i="106"/>
  <c r="H180" i="106"/>
  <c r="H185" i="106" s="1"/>
  <c r="J12" i="2"/>
  <c r="C11" i="101"/>
  <c r="E44" i="79"/>
  <c r="I20" i="96"/>
  <c r="I23" i="96" s="1"/>
  <c r="H25" i="79"/>
  <c r="H33" i="79" s="1"/>
  <c r="E46" i="79"/>
  <c r="J14" i="2"/>
  <c r="H6" i="101"/>
  <c r="H7" i="101" s="1"/>
  <c r="G7" i="101"/>
  <c r="E13" i="79"/>
  <c r="G11" i="2"/>
  <c r="H11" i="76"/>
  <c r="I9" i="76"/>
  <c r="I14" i="76" s="1"/>
  <c r="I15" i="76" s="1"/>
  <c r="H14" i="76"/>
  <c r="J16" i="79"/>
  <c r="F16" i="79"/>
  <c r="R33" i="64"/>
  <c r="S33" i="64" s="1"/>
  <c r="M23" i="101"/>
  <c r="M25" i="101"/>
  <c r="L12" i="76"/>
  <c r="N14" i="2"/>
  <c r="M14" i="2" s="1"/>
  <c r="G11" i="98"/>
  <c r="I13" i="58"/>
  <c r="R35" i="64"/>
  <c r="S35" i="64" s="1"/>
  <c r="M12" i="76"/>
  <c r="N10" i="76"/>
  <c r="L10" i="98"/>
  <c r="N10" i="98"/>
  <c r="J10" i="98"/>
  <c r="J17" i="98" s="1"/>
  <c r="M12" i="14" s="1"/>
  <c r="K10" i="98"/>
  <c r="M10" i="98"/>
  <c r="O10" i="98"/>
  <c r="AF48" i="64"/>
  <c r="AF53" i="64" s="1"/>
  <c r="AD53" i="64"/>
  <c r="I12" i="14"/>
  <c r="I22" i="14" s="1"/>
  <c r="H22" i="14"/>
  <c r="L12" i="2"/>
  <c r="O12" i="2"/>
  <c r="M12" i="2"/>
  <c r="S16" i="64"/>
  <c r="R22" i="64"/>
  <c r="B31" i="44"/>
  <c r="B32" i="44" s="1"/>
  <c r="B33" i="44" s="1"/>
  <c r="B34" i="44" s="1"/>
  <c r="B35" i="44" s="1"/>
  <c r="B36" i="44" s="1"/>
  <c r="B37" i="44" s="1"/>
  <c r="B38" i="44" s="1"/>
  <c r="B39" i="44" s="1"/>
  <c r="B10" i="65"/>
  <c r="B11" i="65" s="1"/>
  <c r="B12" i="65" s="1"/>
  <c r="B13" i="65" s="1"/>
  <c r="B14" i="65" s="1"/>
  <c r="AC154" i="106" l="1"/>
  <c r="AD154" i="106"/>
  <c r="I159" i="106"/>
  <c r="AB154" i="106"/>
  <c r="AE154" i="106"/>
  <c r="I180" i="106"/>
  <c r="AA159" i="106"/>
  <c r="AA180" i="106"/>
  <c r="K16" i="79"/>
  <c r="I18" i="2"/>
  <c r="E50" i="79" s="1"/>
  <c r="H44" i="79"/>
  <c r="F44" i="79"/>
  <c r="F11" i="101"/>
  <c r="C12" i="101"/>
  <c r="E11" i="101"/>
  <c r="E12" i="101" s="1"/>
  <c r="M26" i="101"/>
  <c r="M27" i="101" s="1"/>
  <c r="F23" i="2" s="1"/>
  <c r="G23" i="2" s="1"/>
  <c r="G12" i="98"/>
  <c r="P14" i="2"/>
  <c r="L10" i="2"/>
  <c r="M10" i="2"/>
  <c r="J46" i="79"/>
  <c r="F46" i="79"/>
  <c r="W33" i="64"/>
  <c r="H82" i="106" s="1"/>
  <c r="M11" i="98"/>
  <c r="N11" i="98"/>
  <c r="K11" i="98"/>
  <c r="K17" i="98" s="1"/>
  <c r="O12" i="14" s="1"/>
  <c r="O22" i="14" s="1"/>
  <c r="O11" i="98"/>
  <c r="L11" i="98"/>
  <c r="L12" i="14"/>
  <c r="N12" i="14" s="1"/>
  <c r="N22" i="14" s="1"/>
  <c r="K12" i="14"/>
  <c r="M22" i="14"/>
  <c r="W35" i="64"/>
  <c r="H134" i="106" s="1"/>
  <c r="N12" i="76"/>
  <c r="O10" i="76"/>
  <c r="O14" i="2"/>
  <c r="H15" i="76"/>
  <c r="K9" i="76"/>
  <c r="J13" i="79"/>
  <c r="F13" i="79"/>
  <c r="W16" i="64"/>
  <c r="S22" i="64"/>
  <c r="E36" i="77" s="1"/>
  <c r="B28" i="67"/>
  <c r="B29" i="67" s="1"/>
  <c r="B30" i="67" s="1"/>
  <c r="B31" i="67" s="1"/>
  <c r="H48" i="64"/>
  <c r="AG154" i="106" l="1"/>
  <c r="I185" i="106"/>
  <c r="AB159" i="106"/>
  <c r="AB180" i="106"/>
  <c r="AH154" i="106"/>
  <c r="AH159" i="106" s="1"/>
  <c r="AD159" i="106"/>
  <c r="AD180" i="106"/>
  <c r="AE159" i="106"/>
  <c r="AE180" i="106"/>
  <c r="AC159" i="106"/>
  <c r="AC180" i="106"/>
  <c r="P18" i="2"/>
  <c r="J18" i="2"/>
  <c r="G11" i="101"/>
  <c r="F12" i="101"/>
  <c r="J44" i="79"/>
  <c r="H47" i="79"/>
  <c r="H49" i="79" s="1"/>
  <c r="H54" i="79" s="1"/>
  <c r="H60" i="79" s="1"/>
  <c r="H68" i="79" s="1"/>
  <c r="I22" i="2"/>
  <c r="J22" i="2" s="1"/>
  <c r="K13" i="79"/>
  <c r="E23" i="79"/>
  <c r="E11" i="99"/>
  <c r="L9" i="76"/>
  <c r="K11" i="76"/>
  <c r="K14" i="76"/>
  <c r="Q14" i="2"/>
  <c r="G13" i="98"/>
  <c r="L12" i="98"/>
  <c r="L17" i="98" s="1"/>
  <c r="P12" i="14" s="1"/>
  <c r="P22" i="14" s="1"/>
  <c r="N12" i="98"/>
  <c r="O12" i="98"/>
  <c r="M12" i="98"/>
  <c r="F50" i="79"/>
  <c r="J50" i="79"/>
  <c r="P10" i="76"/>
  <c r="O12" i="76"/>
  <c r="L22" i="14"/>
  <c r="M18" i="2" s="1"/>
  <c r="K22" i="14"/>
  <c r="L18" i="2" s="1"/>
  <c r="N18" i="2"/>
  <c r="O18" i="2" s="1"/>
  <c r="H53" i="64"/>
  <c r="I48" i="64"/>
  <c r="AI48" i="64" s="1"/>
  <c r="J48" i="64" s="1"/>
  <c r="D32" i="64"/>
  <c r="W22" i="64"/>
  <c r="D53" i="64"/>
  <c r="D77" i="64"/>
  <c r="AG180" i="106" l="1"/>
  <c r="AH180" i="106"/>
  <c r="Q18" i="2"/>
  <c r="J23" i="79"/>
  <c r="G12" i="101"/>
  <c r="H11" i="101"/>
  <c r="H12" i="101" s="1"/>
  <c r="G14" i="98"/>
  <c r="R14" i="2"/>
  <c r="Q10" i="76"/>
  <c r="Q12" i="76" s="1"/>
  <c r="P12" i="76"/>
  <c r="K15" i="76"/>
  <c r="M9" i="76"/>
  <c r="D82" i="64"/>
  <c r="H77" i="64"/>
  <c r="N13" i="98"/>
  <c r="M13" i="98"/>
  <c r="M17" i="98" s="1"/>
  <c r="Q12" i="14" s="1"/>
  <c r="Q22" i="14" s="1"/>
  <c r="O13" i="98"/>
  <c r="L11" i="76"/>
  <c r="L14" i="76"/>
  <c r="L15" i="76" s="1"/>
  <c r="H32" i="64"/>
  <c r="D38" i="64"/>
  <c r="F36" i="77" s="1"/>
  <c r="I53" i="64"/>
  <c r="R18" i="2" l="1"/>
  <c r="G15" i="98"/>
  <c r="O15" i="98" s="1"/>
  <c r="S14" i="2"/>
  <c r="G16" i="98"/>
  <c r="T14" i="2"/>
  <c r="I77" i="64"/>
  <c r="H82" i="64"/>
  <c r="M11" i="76"/>
  <c r="M14" i="76"/>
  <c r="O14" i="98"/>
  <c r="N14" i="98"/>
  <c r="N17" i="98" s="1"/>
  <c r="R12" i="14" s="1"/>
  <c r="R22" i="14" s="1"/>
  <c r="I32" i="64"/>
  <c r="H38" i="64"/>
  <c r="S18" i="2" l="1"/>
  <c r="O17" i="98"/>
  <c r="S12" i="14" s="1"/>
  <c r="S22" i="14" s="1"/>
  <c r="G17" i="98"/>
  <c r="M15" i="76"/>
  <c r="N9" i="76"/>
  <c r="I82" i="64"/>
  <c r="M32" i="64"/>
  <c r="I38" i="64"/>
  <c r="G36" i="77" s="1"/>
  <c r="T18" i="2" l="1"/>
  <c r="N11" i="76"/>
  <c r="N14" i="76"/>
  <c r="N32" i="64"/>
  <c r="M38" i="64"/>
  <c r="O9" i="76" l="1"/>
  <c r="N15" i="76"/>
  <c r="R32" i="64"/>
  <c r="N38" i="64"/>
  <c r="H36" i="77" s="1"/>
  <c r="O14" i="76" l="1"/>
  <c r="O11" i="76"/>
  <c r="S32" i="64"/>
  <c r="R38" i="64"/>
  <c r="P9" i="76" l="1"/>
  <c r="O15" i="76"/>
  <c r="W32" i="64"/>
  <c r="S38" i="64"/>
  <c r="I36" i="77" s="1"/>
  <c r="W38" i="64" l="1"/>
  <c r="E56" i="106"/>
  <c r="P11" i="76"/>
  <c r="P14" i="76"/>
  <c r="Q9" i="76" l="1"/>
  <c r="P15" i="76"/>
  <c r="Q11" i="76" l="1"/>
  <c r="Q14" i="76"/>
  <c r="Q15" i="76" s="1"/>
  <c r="J28" i="2" l="1"/>
  <c r="E57" i="79"/>
  <c r="F57" i="79" l="1"/>
  <c r="J57" i="79"/>
  <c r="M48" i="64"/>
  <c r="N48" i="64" s="1"/>
  <c r="J53" i="64"/>
  <c r="J77" i="64"/>
  <c r="I10" i="2" l="1"/>
  <c r="E42" i="79" s="1"/>
  <c r="M53" i="64"/>
  <c r="J82" i="64"/>
  <c r="M77" i="64"/>
  <c r="AJ48" i="64"/>
  <c r="O48" i="64" s="1"/>
  <c r="N53" i="64"/>
  <c r="J18" i="96" l="1"/>
  <c r="J10" i="2"/>
  <c r="H16" i="58"/>
  <c r="I16" i="58" s="1"/>
  <c r="I17" i="58" s="1"/>
  <c r="I19" i="58" s="1"/>
  <c r="N77" i="64"/>
  <c r="M82" i="64"/>
  <c r="J42" i="79"/>
  <c r="F42" i="79"/>
  <c r="K12" i="58" l="1"/>
  <c r="L12" i="58" s="1"/>
  <c r="H17" i="58"/>
  <c r="H19" i="58" s="1"/>
  <c r="H21" i="58" s="1"/>
  <c r="H23" i="58" s="1"/>
  <c r="I11" i="2" s="1"/>
  <c r="N19" i="101"/>
  <c r="N20" i="101" s="1"/>
  <c r="N21" i="101" s="1"/>
  <c r="N23" i="101" s="1"/>
  <c r="K15" i="96"/>
  <c r="K17" i="96" s="1"/>
  <c r="J22" i="96"/>
  <c r="J20" i="96"/>
  <c r="N82" i="64"/>
  <c r="R48" i="64"/>
  <c r="S48" i="64" s="1"/>
  <c r="O77" i="64"/>
  <c r="K13" i="58" l="1"/>
  <c r="L13" i="58" s="1"/>
  <c r="N25" i="101"/>
  <c r="N26" i="101" s="1"/>
  <c r="N27" i="101" s="1"/>
  <c r="I23" i="2" s="1"/>
  <c r="I21" i="58"/>
  <c r="I23" i="58" s="1"/>
  <c r="J23" i="96"/>
  <c r="E43" i="79"/>
  <c r="J11" i="2"/>
  <c r="R77" i="64"/>
  <c r="AK48" i="64"/>
  <c r="T48" i="64" s="1"/>
  <c r="G11" i="99" l="1"/>
  <c r="J23" i="2"/>
  <c r="E53" i="79"/>
  <c r="J53" i="79" s="1"/>
  <c r="J43" i="79"/>
  <c r="F43" i="79"/>
  <c r="S77" i="64"/>
  <c r="F53" i="79" l="1"/>
  <c r="R49" i="64"/>
  <c r="S49" i="64" s="1"/>
  <c r="R50" i="64"/>
  <c r="S50" i="64" s="1"/>
  <c r="R51" i="64"/>
  <c r="S51" i="64" s="1"/>
  <c r="R52" i="64"/>
  <c r="S52" i="64" s="1"/>
  <c r="O53" i="64"/>
  <c r="N10" i="2" s="1"/>
  <c r="O78" i="64"/>
  <c r="R78" i="64" s="1"/>
  <c r="S78" i="64" s="1"/>
  <c r="O79" i="64"/>
  <c r="R79" i="64" s="1"/>
  <c r="O80" i="64"/>
  <c r="R80" i="64" s="1"/>
  <c r="S80" i="64" s="1"/>
  <c r="O81" i="64"/>
  <c r="R81" i="64" s="1"/>
  <c r="S81" i="64" s="1"/>
  <c r="R53" i="64" l="1"/>
  <c r="O10" i="2"/>
  <c r="K16" i="58"/>
  <c r="K17" i="58" s="1"/>
  <c r="O82" i="64"/>
  <c r="S79" i="64"/>
  <c r="R82" i="64"/>
  <c r="AK50" i="64"/>
  <c r="T50" i="64" s="1"/>
  <c r="AK51" i="64"/>
  <c r="T51" i="64" s="1"/>
  <c r="AK52" i="64"/>
  <c r="T52" i="64" s="1"/>
  <c r="S53" i="64"/>
  <c r="AK49" i="64"/>
  <c r="T49" i="64" s="1"/>
  <c r="L16" i="58" l="1"/>
  <c r="M12" i="58"/>
  <c r="K19" i="58"/>
  <c r="K21" i="58" s="1"/>
  <c r="L15" i="96"/>
  <c r="L17" i="96" s="1"/>
  <c r="K18" i="96"/>
  <c r="S82" i="64"/>
  <c r="L17" i="58" l="1"/>
  <c r="L19" i="58" s="1"/>
  <c r="M13" i="58"/>
  <c r="K22" i="96"/>
  <c r="K20" i="96"/>
  <c r="K23" i="58"/>
  <c r="N11" i="2" s="1"/>
  <c r="L21" i="58"/>
  <c r="L23" i="58" s="1"/>
  <c r="K23" i="96" l="1"/>
  <c r="O11" i="2"/>
  <c r="L11" i="2"/>
  <c r="L15" i="2" s="1"/>
  <c r="L17" i="2" s="1"/>
  <c r="L24" i="2" s="1"/>
  <c r="L35" i="2" s="1"/>
  <c r="M11" i="2"/>
  <c r="W48" i="64"/>
  <c r="D61" i="64" s="1"/>
  <c r="T77" i="64"/>
  <c r="W77" i="64" s="1"/>
  <c r="D90" i="64" s="1"/>
  <c r="AL48" i="64" l="1"/>
  <c r="E61" i="64" s="1"/>
  <c r="E90" i="64" s="1"/>
  <c r="H90" i="64" s="1"/>
  <c r="I90" i="64" s="1"/>
  <c r="H61" i="64" l="1"/>
  <c r="I61" i="64" s="1"/>
  <c r="AM48" i="64" l="1"/>
  <c r="J61" i="64" s="1"/>
  <c r="J90" i="64" s="1"/>
  <c r="M90" i="64" s="1"/>
  <c r="N90" i="64" s="1"/>
  <c r="M61" i="64" l="1"/>
  <c r="N61" i="64" s="1"/>
  <c r="AN48" i="64" s="1"/>
  <c r="O61" i="64" s="1"/>
  <c r="O90" i="64" s="1"/>
  <c r="R90" i="64" s="1"/>
  <c r="R61" i="64" l="1"/>
  <c r="S61" i="64" s="1"/>
  <c r="AO48" i="64" s="1"/>
  <c r="T61" i="64" s="1"/>
  <c r="T90" i="64" s="1"/>
  <c r="S90" i="64"/>
  <c r="W61" i="64" l="1"/>
  <c r="W90" i="64"/>
  <c r="W49" i="64" l="1"/>
  <c r="W50" i="64"/>
  <c r="W51" i="64"/>
  <c r="D64" i="64" s="1"/>
  <c r="W52" i="64"/>
  <c r="D65" i="64" s="1"/>
  <c r="AL52" i="64" s="1"/>
  <c r="E65" i="64" s="1"/>
  <c r="E94" i="64" s="1"/>
  <c r="T53" i="64"/>
  <c r="P10" i="2" s="1"/>
  <c r="D63" i="64"/>
  <c r="T78" i="64"/>
  <c r="W78" i="64" s="1"/>
  <c r="D91" i="64" s="1"/>
  <c r="T79" i="64"/>
  <c r="W79" i="64" s="1"/>
  <c r="T80" i="64"/>
  <c r="W80" i="64" s="1"/>
  <c r="D93" i="64" s="1"/>
  <c r="T81" i="64"/>
  <c r="W81" i="64" s="1"/>
  <c r="H65" i="64" l="1"/>
  <c r="I65" i="64" s="1"/>
  <c r="AM52" i="64" s="1"/>
  <c r="J65" i="64" s="1"/>
  <c r="T82" i="64"/>
  <c r="M16" i="58"/>
  <c r="M17" i="58" s="1"/>
  <c r="AL51" i="64"/>
  <c r="E64" i="64" s="1"/>
  <c r="E93" i="64" s="1"/>
  <c r="H93" i="64" s="1"/>
  <c r="I93" i="64" s="1"/>
  <c r="W82" i="64"/>
  <c r="AL50" i="64"/>
  <c r="E63" i="64" s="1"/>
  <c r="H63" i="64" s="1"/>
  <c r="I63" i="64" s="1"/>
  <c r="W53" i="64"/>
  <c r="D62" i="64"/>
  <c r="D94" i="64"/>
  <c r="H94" i="64" s="1"/>
  <c r="I94" i="64" s="1"/>
  <c r="D92" i="64"/>
  <c r="J94" i="64" l="1"/>
  <c r="M94" i="64" s="1"/>
  <c r="N94" i="64" s="1"/>
  <c r="M65" i="64"/>
  <c r="N65" i="64" s="1"/>
  <c r="H64" i="64"/>
  <c r="I64" i="64" s="1"/>
  <c r="D95" i="64"/>
  <c r="AL49" i="64"/>
  <c r="E62" i="64" s="1"/>
  <c r="E91" i="64" s="1"/>
  <c r="H91" i="64" s="1"/>
  <c r="I91" i="64" s="1"/>
  <c r="D66" i="64"/>
  <c r="AM50" i="64"/>
  <c r="J63" i="64" s="1"/>
  <c r="M63" i="64" s="1"/>
  <c r="N63" i="64" s="1"/>
  <c r="M15" i="96"/>
  <c r="M17" i="96" s="1"/>
  <c r="L18" i="96"/>
  <c r="M19" i="58"/>
  <c r="M21" i="58" s="1"/>
  <c r="M23" i="58" s="1"/>
  <c r="P11" i="2" s="1"/>
  <c r="N12" i="58"/>
  <c r="E92" i="64"/>
  <c r="AN52" i="64"/>
  <c r="O65" i="64" s="1"/>
  <c r="O94" i="64" s="1"/>
  <c r="R65" i="64" l="1"/>
  <c r="S65" i="64" s="1"/>
  <c r="AO52" i="64" s="1"/>
  <c r="T65" i="64" s="1"/>
  <c r="T94" i="64" s="1"/>
  <c r="H62" i="64"/>
  <c r="H66" i="64" s="1"/>
  <c r="R94" i="64"/>
  <c r="S94" i="64" s="1"/>
  <c r="E95" i="64"/>
  <c r="AM51" i="64"/>
  <c r="J64" i="64" s="1"/>
  <c r="J93" i="64" s="1"/>
  <c r="M93" i="64" s="1"/>
  <c r="N93" i="64" s="1"/>
  <c r="E66" i="64"/>
  <c r="Q10" i="2" s="1"/>
  <c r="N16" i="58" s="1"/>
  <c r="O12" i="58" s="1"/>
  <c r="H92" i="64"/>
  <c r="I92" i="64" s="1"/>
  <c r="AN50" i="64"/>
  <c r="O63" i="64" s="1"/>
  <c r="R63" i="64" s="1"/>
  <c r="S63" i="64" s="1"/>
  <c r="N13" i="58"/>
  <c r="L22" i="96"/>
  <c r="L20" i="96"/>
  <c r="J92" i="64"/>
  <c r="I62" i="64" l="1"/>
  <c r="W94" i="64"/>
  <c r="H95" i="64"/>
  <c r="N17" i="58"/>
  <c r="W65" i="64"/>
  <c r="M64" i="64"/>
  <c r="N64" i="64" s="1"/>
  <c r="L23" i="96"/>
  <c r="N19" i="58"/>
  <c r="N21" i="58" s="1"/>
  <c r="N23" i="58" s="1"/>
  <c r="Q11" i="2" s="1"/>
  <c r="N15" i="96"/>
  <c r="N17" i="96" s="1"/>
  <c r="M18" i="96"/>
  <c r="O13" i="58"/>
  <c r="O92" i="64"/>
  <c r="AO50" i="64"/>
  <c r="T63" i="64" s="1"/>
  <c r="W63" i="64" s="1"/>
  <c r="AM49" i="64"/>
  <c r="J62" i="64" s="1"/>
  <c r="M62" i="64" s="1"/>
  <c r="I66" i="64"/>
  <c r="M92" i="64"/>
  <c r="I95" i="64"/>
  <c r="AN51" i="64" l="1"/>
  <c r="O64" i="64" s="1"/>
  <c r="O93" i="64" s="1"/>
  <c r="R93" i="64" s="1"/>
  <c r="S93" i="64" s="1"/>
  <c r="J91" i="64"/>
  <c r="J66" i="64"/>
  <c r="R10" i="2" s="1"/>
  <c r="M66" i="64"/>
  <c r="N62" i="64"/>
  <c r="M22" i="96"/>
  <c r="M20" i="96"/>
  <c r="N92" i="64"/>
  <c r="T92" i="64"/>
  <c r="M91" i="64" l="1"/>
  <c r="J95" i="64"/>
  <c r="O16" i="58"/>
  <c r="O17" i="58" s="1"/>
  <c r="R64" i="64"/>
  <c r="S64" i="64" s="1"/>
  <c r="M23" i="96"/>
  <c r="R92" i="64"/>
  <c r="N66" i="64"/>
  <c r="AN49" i="64"/>
  <c r="O62" i="64" s="1"/>
  <c r="N18" i="96" l="1"/>
  <c r="O15" i="96"/>
  <c r="O17" i="96" s="1"/>
  <c r="O91" i="64"/>
  <c r="O95" i="64" s="1"/>
  <c r="O66" i="64"/>
  <c r="S10" i="2" s="1"/>
  <c r="AO51" i="64"/>
  <c r="T64" i="64" s="1"/>
  <c r="T93" i="64" s="1"/>
  <c r="W93" i="64" s="1"/>
  <c r="R62" i="64"/>
  <c r="R66" i="64" s="1"/>
  <c r="N91" i="64"/>
  <c r="M95" i="64"/>
  <c r="P12" i="58"/>
  <c r="P13" i="58" s="1"/>
  <c r="O19" i="58"/>
  <c r="O21" i="58" s="1"/>
  <c r="O23" i="58" s="1"/>
  <c r="R11" i="2" s="1"/>
  <c r="S92" i="64"/>
  <c r="S62" i="64" l="1"/>
  <c r="R91" i="64"/>
  <c r="N95" i="64"/>
  <c r="P16" i="58"/>
  <c r="Q12" i="58" s="1"/>
  <c r="Q13" i="58" s="1"/>
  <c r="W64" i="64"/>
  <c r="N20" i="96"/>
  <c r="N22" i="96"/>
  <c r="W92" i="64"/>
  <c r="AO49" i="64"/>
  <c r="T62" i="64" s="1"/>
  <c r="S66" i="64"/>
  <c r="N23" i="96" l="1"/>
  <c r="P17" i="58"/>
  <c r="O18" i="96"/>
  <c r="P15" i="96"/>
  <c r="P17" i="96" s="1"/>
  <c r="T91" i="64"/>
  <c r="T95" i="64" s="1"/>
  <c r="T66" i="64"/>
  <c r="T10" i="2" s="1"/>
  <c r="W62" i="64"/>
  <c r="P19" i="58"/>
  <c r="P21" i="58" s="1"/>
  <c r="P23" i="58" s="1"/>
  <c r="S11" i="2" s="1"/>
  <c r="S91" i="64"/>
  <c r="R95" i="64"/>
  <c r="W66" i="64" l="1"/>
  <c r="AE82" i="106"/>
  <c r="Q16" i="58"/>
  <c r="W91" i="64"/>
  <c r="W95" i="64" s="1"/>
  <c r="S95" i="64"/>
  <c r="O20" i="96"/>
  <c r="O22" i="96"/>
  <c r="P18" i="96" l="1"/>
  <c r="Q17" i="58"/>
  <c r="Q19" i="58" s="1"/>
  <c r="Q21" i="58" s="1"/>
  <c r="Q23" i="58" s="1"/>
  <c r="T11" i="2" s="1"/>
  <c r="O23" i="96"/>
  <c r="P22" i="96" l="1"/>
  <c r="P20" i="96"/>
  <c r="AG123" i="106"/>
  <c r="AH123" i="106"/>
  <c r="AH133" i="106" s="1"/>
  <c r="AA133" i="106"/>
  <c r="AB133" i="106"/>
  <c r="AC133" i="106"/>
  <c r="AD133" i="106"/>
  <c r="AE133" i="106"/>
  <c r="P23" i="96" l="1"/>
  <c r="I24" i="96" s="1"/>
  <c r="I26" i="96" s="1"/>
  <c r="P12" i="2"/>
  <c r="Q12" i="2"/>
  <c r="R12" i="2"/>
  <c r="S12" i="2"/>
  <c r="T12" i="2"/>
  <c r="F13" i="2"/>
  <c r="G13" i="2"/>
  <c r="I13" i="2"/>
  <c r="J13" i="2"/>
  <c r="M13" i="2"/>
  <c r="N13" i="2"/>
  <c r="O13" i="2"/>
  <c r="F15" i="2"/>
  <c r="G15" i="2"/>
  <c r="I15" i="2"/>
  <c r="J15" i="2"/>
  <c r="M15" i="2"/>
  <c r="N15" i="2"/>
  <c r="O15" i="2"/>
  <c r="P15" i="2"/>
  <c r="Q15" i="2"/>
  <c r="R15" i="2"/>
  <c r="S15" i="2"/>
  <c r="T15" i="2"/>
  <c r="P16" i="2"/>
  <c r="Q16" i="2"/>
  <c r="R16" i="2"/>
  <c r="S16" i="2"/>
  <c r="T16" i="2"/>
  <c r="F17" i="2"/>
  <c r="G17" i="2"/>
  <c r="I17" i="2"/>
  <c r="J17" i="2"/>
  <c r="M17" i="2"/>
  <c r="N17" i="2"/>
  <c r="O17" i="2"/>
  <c r="P17" i="2"/>
  <c r="Q17" i="2"/>
  <c r="R17" i="2"/>
  <c r="S17" i="2"/>
  <c r="T17" i="2"/>
  <c r="F21" i="2"/>
  <c r="G21" i="2"/>
  <c r="I21" i="2"/>
  <c r="J21" i="2"/>
  <c r="F24" i="2"/>
  <c r="G24" i="2"/>
  <c r="I24" i="2"/>
  <c r="J24" i="2"/>
  <c r="M24" i="2"/>
  <c r="N24" i="2"/>
  <c r="O24" i="2"/>
  <c r="P24" i="2"/>
  <c r="Q24" i="2"/>
  <c r="R24" i="2"/>
  <c r="S24" i="2"/>
  <c r="T24" i="2"/>
  <c r="P31" i="2"/>
  <c r="P32" i="2"/>
  <c r="P33" i="2"/>
  <c r="P34" i="2"/>
  <c r="F35" i="2"/>
  <c r="G35" i="2"/>
  <c r="I35" i="2"/>
  <c r="J35" i="2"/>
  <c r="M35" i="2"/>
  <c r="N35" i="2"/>
  <c r="O35" i="2"/>
  <c r="P35" i="2"/>
  <c r="Q35" i="2"/>
  <c r="R35" i="2"/>
  <c r="S35" i="2"/>
  <c r="T35" i="2"/>
  <c r="O10" i="90"/>
  <c r="P10" i="90"/>
  <c r="Q10" i="90"/>
  <c r="R10" i="90"/>
  <c r="S10" i="90"/>
  <c r="O14" i="90"/>
  <c r="P14" i="90"/>
  <c r="Q14" i="90"/>
  <c r="R14" i="90"/>
  <c r="S14" i="90"/>
  <c r="E15" i="79"/>
  <c r="F15" i="79"/>
  <c r="J15" i="79"/>
  <c r="K15" i="79"/>
  <c r="E17" i="79"/>
  <c r="F17" i="79"/>
  <c r="J17" i="79"/>
  <c r="E19" i="79"/>
  <c r="F19" i="79"/>
  <c r="J19" i="79"/>
  <c r="E22" i="79"/>
  <c r="F22" i="79"/>
  <c r="J22" i="79"/>
  <c r="E25" i="79"/>
  <c r="F25" i="79"/>
  <c r="J25" i="79"/>
  <c r="K25" i="79"/>
  <c r="E33" i="79"/>
  <c r="F33" i="79"/>
  <c r="J33" i="79"/>
  <c r="E45" i="79"/>
  <c r="F45" i="79"/>
  <c r="J45" i="79"/>
  <c r="E47" i="79"/>
  <c r="F47" i="79"/>
  <c r="J47" i="79"/>
  <c r="E49" i="79"/>
  <c r="F49" i="79"/>
  <c r="J49" i="79"/>
  <c r="E52" i="79"/>
  <c r="F52" i="79"/>
  <c r="J52" i="79"/>
  <c r="E54" i="79"/>
  <c r="F54" i="79"/>
  <c r="J54" i="79"/>
  <c r="E60" i="79"/>
  <c r="F60" i="79"/>
  <c r="J60" i="79"/>
  <c r="K60" i="79"/>
  <c r="E68" i="79"/>
  <c r="F68" i="79"/>
  <c r="J68" i="79"/>
  <c r="U92" i="106"/>
  <c r="V92" i="106"/>
  <c r="W92" i="106"/>
  <c r="X92" i="106"/>
  <c r="Y92" i="106"/>
  <c r="Z92" i="106"/>
  <c r="AA92" i="106"/>
  <c r="AB92" i="106"/>
  <c r="AC92" i="106"/>
  <c r="AD92" i="106"/>
  <c r="AE92" i="106"/>
  <c r="AG92" i="106"/>
  <c r="AH92" i="106"/>
  <c r="U96" i="106"/>
  <c r="Z96" i="106"/>
  <c r="AA96" i="106"/>
  <c r="AB96" i="106"/>
  <c r="AC96" i="106"/>
  <c r="AD96" i="106"/>
  <c r="AE96" i="106"/>
  <c r="AG96" i="106"/>
  <c r="AH96" i="106"/>
  <c r="AA97" i="106"/>
  <c r="AB97" i="106"/>
  <c r="AC97" i="106"/>
  <c r="AD97" i="106"/>
  <c r="AE97" i="106"/>
  <c r="AG97" i="106"/>
  <c r="AH97" i="106"/>
  <c r="U107" i="106"/>
  <c r="V107" i="106"/>
  <c r="W107" i="106"/>
  <c r="X107" i="106"/>
  <c r="Y107" i="106"/>
  <c r="Z107" i="106"/>
  <c r="AA107" i="106"/>
  <c r="AB107" i="106"/>
  <c r="AC107" i="106"/>
  <c r="AD107" i="106"/>
  <c r="AE107" i="106"/>
  <c r="AH107" i="106"/>
  <c r="U170" i="106"/>
  <c r="V170" i="106"/>
  <c r="W170" i="106"/>
  <c r="X170" i="106"/>
  <c r="Y170" i="106"/>
  <c r="Z170" i="106"/>
  <c r="AA170" i="106"/>
  <c r="AB170" i="106"/>
  <c r="AC170" i="106"/>
  <c r="AD170" i="106"/>
  <c r="AE170" i="106"/>
  <c r="AG170" i="106"/>
  <c r="AH170" i="106"/>
  <c r="U174" i="106"/>
  <c r="Z174" i="106"/>
  <c r="AA174" i="106"/>
  <c r="AB174" i="106"/>
  <c r="AC174" i="106"/>
  <c r="AD174" i="106"/>
  <c r="AE174" i="106"/>
  <c r="AG174" i="106"/>
  <c r="AH174" i="106"/>
  <c r="AA175" i="106"/>
  <c r="AB175" i="106"/>
  <c r="AC175" i="106"/>
  <c r="AD175" i="106"/>
  <c r="AE175" i="106"/>
  <c r="AG175" i="106"/>
  <c r="AH175" i="106"/>
  <c r="U185" i="106"/>
  <c r="V185" i="106"/>
  <c r="W185" i="106"/>
  <c r="X185" i="106"/>
  <c r="Y185" i="106"/>
  <c r="Z185" i="106"/>
  <c r="AA185" i="106"/>
  <c r="AB185" i="106"/>
  <c r="AC185" i="106"/>
  <c r="AD185" i="106"/>
  <c r="AE185" i="106"/>
  <c r="AH185" i="106"/>
  <c r="E37" i="77"/>
  <c r="F37" i="77"/>
  <c r="G37" i="77"/>
  <c r="H37" i="77"/>
  <c r="I37" i="77"/>
  <c r="E39" i="77"/>
  <c r="F39" i="77"/>
  <c r="G39" i="77"/>
  <c r="H39" i="77"/>
  <c r="I39" i="77"/>
  <c r="E41" i="77"/>
  <c r="F41" i="77"/>
  <c r="G41" i="77"/>
  <c r="H41" i="77"/>
  <c r="I41" i="77"/>
  <c r="D42" i="3"/>
  <c r="E42" i="3"/>
  <c r="F42" i="3"/>
  <c r="G42" i="3"/>
  <c r="H42" i="3"/>
  <c r="D43" i="3"/>
  <c r="E43" i="3"/>
  <c r="F43" i="3"/>
  <c r="G43" i="3"/>
  <c r="H43" i="3"/>
  <c r="D44" i="3"/>
  <c r="E44" i="3"/>
  <c r="F44" i="3"/>
  <c r="G44" i="3"/>
  <c r="H44" i="3"/>
  <c r="D45" i="3"/>
  <c r="E45" i="3"/>
  <c r="F45" i="3"/>
  <c r="G45" i="3"/>
  <c r="H45" i="3"/>
  <c r="F10" i="78"/>
  <c r="G10" i="78"/>
  <c r="I10" i="78"/>
  <c r="J10" i="78"/>
  <c r="L10" i="78"/>
  <c r="M10" i="78"/>
  <c r="E92" i="78"/>
  <c r="E93" i="78"/>
  <c r="E94" i="78"/>
  <c r="E97" i="78"/>
  <c r="F97" i="78"/>
  <c r="G97" i="78"/>
  <c r="H97" i="78"/>
  <c r="I97" i="78"/>
  <c r="J97" i="78"/>
  <c r="D4" i="104"/>
  <c r="E4" i="104"/>
  <c r="F4" i="104"/>
  <c r="D6" i="104"/>
  <c r="E6" i="104"/>
  <c r="F6" i="104"/>
  <c r="G13" i="104"/>
  <c r="H13" i="104"/>
  <c r="I13" i="104"/>
  <c r="F14" i="104"/>
  <c r="G14" i="104"/>
  <c r="H14" i="104"/>
  <c r="I15" i="104"/>
  <c r="F16" i="104"/>
  <c r="G16" i="104"/>
  <c r="H16" i="104"/>
  <c r="I16" i="104"/>
  <c r="F17" i="104"/>
  <c r="G17" i="104"/>
  <c r="H17" i="104"/>
  <c r="I17" i="104"/>
  <c r="F19" i="104"/>
  <c r="G19" i="104"/>
  <c r="H19" i="104"/>
  <c r="I19" i="104"/>
  <c r="D20" i="104"/>
  <c r="D5" i="100"/>
  <c r="E5" i="100"/>
  <c r="D9" i="100"/>
  <c r="E9" i="100"/>
  <c r="D11" i="100"/>
  <c r="E11" i="100"/>
  <c r="E12" i="99"/>
  <c r="G12" i="99"/>
  <c r="E13" i="99"/>
  <c r="G13" i="99"/>
  <c r="E14" i="99"/>
  <c r="G14" i="99"/>
  <c r="E16" i="99"/>
  <c r="G16" i="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Jitendra Dhanji Bhanushali</author>
  </authors>
  <commentList>
    <comment ref="C25" authorId="0" shapeId="0" xr:uid="{00000000-0006-0000-0100-000001000000}">
      <text>
        <r>
          <rPr>
            <b/>
            <sz val="9"/>
            <color indexed="81"/>
            <rFont val="Tahoma"/>
            <family val="2"/>
          </rPr>
          <t>Jitendra Dhanji Bhanushali:</t>
        </r>
        <r>
          <rPr>
            <sz val="9"/>
            <color indexed="81"/>
            <rFont val="Tahoma"/>
            <family val="2"/>
          </rPr>
          <t xml:space="preserve">
Applicable only for MYT Regulations 2011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Jitendra Dhanji Bhanushali</author>
  </authors>
  <commentList>
    <comment ref="D11" authorId="0" shapeId="0" xr:uid="{00000000-0006-0000-2100-000001000000}">
      <text>
        <r>
          <rPr>
            <b/>
            <sz val="9"/>
            <color indexed="81"/>
            <rFont val="Tahoma"/>
            <family val="2"/>
          </rPr>
          <t>Jitendra Dhanji Bhanushali:</t>
        </r>
        <r>
          <rPr>
            <sz val="9"/>
            <color indexed="81"/>
            <rFont val="Tahoma"/>
            <family val="2"/>
          </rPr>
          <t xml:space="preserve">
170 of 2011</t>
        </r>
      </text>
    </comment>
    <comment ref="E11" authorId="0" shapeId="0" xr:uid="{00000000-0006-0000-2100-000002000000}">
      <text>
        <r>
          <rPr>
            <b/>
            <sz val="9"/>
            <color indexed="81"/>
            <rFont val="Tahoma"/>
            <family val="2"/>
          </rPr>
          <t>Jitendra Dhanji Bhanushali:</t>
        </r>
        <r>
          <rPr>
            <sz val="9"/>
            <color indexed="81"/>
            <rFont val="Tahoma"/>
            <family val="2"/>
          </rPr>
          <t xml:space="preserve">
27 of 2013</t>
        </r>
      </text>
    </comment>
    <comment ref="F11" authorId="0" shapeId="0" xr:uid="{00000000-0006-0000-2100-000003000000}">
      <text>
        <r>
          <rPr>
            <b/>
            <sz val="9"/>
            <color indexed="81"/>
            <rFont val="Tahoma"/>
            <family val="2"/>
          </rPr>
          <t>Jitendra Dhanji Bhanushali:</t>
        </r>
        <r>
          <rPr>
            <sz val="9"/>
            <color indexed="81"/>
            <rFont val="Tahoma"/>
            <family val="2"/>
          </rPr>
          <t xml:space="preserve">
208 of 2014</t>
        </r>
      </text>
    </comment>
    <comment ref="G11" authorId="0" shapeId="0" xr:uid="{00000000-0006-0000-2100-000004000000}">
      <text>
        <r>
          <rPr>
            <b/>
            <sz val="9"/>
            <color indexed="81"/>
            <rFont val="Tahoma"/>
            <family val="2"/>
          </rPr>
          <t>Jitendra Dhanji Bhanushali:</t>
        </r>
        <r>
          <rPr>
            <sz val="9"/>
            <color indexed="81"/>
            <rFont val="Tahoma"/>
            <family val="2"/>
          </rPr>
          <t xml:space="preserve">
208 of 2014</t>
        </r>
      </text>
    </comment>
    <comment ref="M11" authorId="0" shapeId="0" xr:uid="{00000000-0006-0000-2100-000005000000}">
      <text>
        <r>
          <rPr>
            <b/>
            <sz val="9"/>
            <color indexed="81"/>
            <rFont val="Tahoma"/>
            <family val="2"/>
          </rPr>
          <t>Jitendra Dhanji Bhanushali:</t>
        </r>
        <r>
          <rPr>
            <sz val="9"/>
            <color indexed="81"/>
            <rFont val="Tahoma"/>
            <family val="2"/>
          </rPr>
          <t xml:space="preserve">
170 of 2011</t>
        </r>
      </text>
    </comment>
    <comment ref="N11" authorId="0" shapeId="0" xr:uid="{00000000-0006-0000-2100-000006000000}">
      <text>
        <r>
          <rPr>
            <b/>
            <sz val="9"/>
            <color indexed="81"/>
            <rFont val="Tahoma"/>
            <family val="2"/>
          </rPr>
          <t>Jitendra Dhanji Bhanushali:</t>
        </r>
        <r>
          <rPr>
            <sz val="9"/>
            <color indexed="81"/>
            <rFont val="Tahoma"/>
            <family val="2"/>
          </rPr>
          <t xml:space="preserve">
27 of 2013</t>
        </r>
      </text>
    </comment>
    <comment ref="O11" authorId="0" shapeId="0" xr:uid="{00000000-0006-0000-2100-000007000000}">
      <text>
        <r>
          <rPr>
            <b/>
            <sz val="9"/>
            <color indexed="81"/>
            <rFont val="Tahoma"/>
            <family val="2"/>
          </rPr>
          <t>Jitendra Dhanji Bhanushali:</t>
        </r>
        <r>
          <rPr>
            <sz val="9"/>
            <color indexed="81"/>
            <rFont val="Tahoma"/>
            <family val="2"/>
          </rPr>
          <t xml:space="preserve">
208 of 2014</t>
        </r>
      </text>
    </comment>
    <comment ref="P11" authorId="0" shapeId="0" xr:uid="{00000000-0006-0000-2100-000008000000}">
      <text>
        <r>
          <rPr>
            <b/>
            <sz val="9"/>
            <color indexed="81"/>
            <rFont val="Tahoma"/>
            <family val="2"/>
          </rPr>
          <t>Jitendra Dhanji Bhanushali:</t>
        </r>
        <r>
          <rPr>
            <sz val="9"/>
            <color indexed="81"/>
            <rFont val="Tahoma"/>
            <family val="2"/>
          </rPr>
          <t xml:space="preserve">
208 of 2014</t>
        </r>
      </text>
    </comment>
    <comment ref="D16" authorId="0" shapeId="0" xr:uid="{00000000-0006-0000-2100-000009000000}">
      <text>
        <r>
          <rPr>
            <b/>
            <sz val="9"/>
            <color indexed="81"/>
            <rFont val="Tahoma"/>
            <family val="2"/>
          </rPr>
          <t>Jitendra Dhanji Bhanushali:</t>
        </r>
        <r>
          <rPr>
            <sz val="9"/>
            <color indexed="81"/>
            <rFont val="Tahoma"/>
            <family val="2"/>
          </rPr>
          <t xml:space="preserve">
170 of 2011</t>
        </r>
      </text>
    </comment>
    <comment ref="E16" authorId="0" shapeId="0" xr:uid="{00000000-0006-0000-2100-00000A000000}">
      <text>
        <r>
          <rPr>
            <b/>
            <sz val="9"/>
            <color indexed="81"/>
            <rFont val="Tahoma"/>
            <family val="2"/>
          </rPr>
          <t>Jitendra Dhanji Bhanushali:</t>
        </r>
        <r>
          <rPr>
            <sz val="9"/>
            <color indexed="81"/>
            <rFont val="Tahoma"/>
            <family val="2"/>
          </rPr>
          <t xml:space="preserve">
27 of 2013</t>
        </r>
      </text>
    </comment>
    <comment ref="F16" authorId="0" shapeId="0" xr:uid="{00000000-0006-0000-2100-00000B000000}">
      <text>
        <r>
          <rPr>
            <b/>
            <sz val="9"/>
            <color indexed="81"/>
            <rFont val="Tahoma"/>
            <family val="2"/>
          </rPr>
          <t>Jitendra Dhanji Bhanushali:</t>
        </r>
        <r>
          <rPr>
            <sz val="9"/>
            <color indexed="81"/>
            <rFont val="Tahoma"/>
            <family val="2"/>
          </rPr>
          <t xml:space="preserve">
208 of 2014</t>
        </r>
      </text>
    </comment>
    <comment ref="G16" authorId="0" shapeId="0" xr:uid="{00000000-0006-0000-2100-00000C000000}">
      <text>
        <r>
          <rPr>
            <b/>
            <sz val="9"/>
            <color indexed="81"/>
            <rFont val="Tahoma"/>
            <family val="2"/>
          </rPr>
          <t>Jitendra Dhanji Bhanushali:</t>
        </r>
        <r>
          <rPr>
            <sz val="9"/>
            <color indexed="81"/>
            <rFont val="Tahoma"/>
            <family val="2"/>
          </rPr>
          <t xml:space="preserve">
208 of 2014</t>
        </r>
      </text>
    </comment>
    <comment ref="M16" authorId="0" shapeId="0" xr:uid="{00000000-0006-0000-2100-00000D000000}">
      <text>
        <r>
          <rPr>
            <b/>
            <sz val="9"/>
            <color indexed="81"/>
            <rFont val="Tahoma"/>
            <family val="2"/>
          </rPr>
          <t>Jitendra Dhanji Bhanushali:</t>
        </r>
        <r>
          <rPr>
            <sz val="9"/>
            <color indexed="81"/>
            <rFont val="Tahoma"/>
            <family val="2"/>
          </rPr>
          <t xml:space="preserve">
170 of 2011</t>
        </r>
      </text>
    </comment>
    <comment ref="N16" authorId="0" shapeId="0" xr:uid="{00000000-0006-0000-2100-00000E000000}">
      <text>
        <r>
          <rPr>
            <b/>
            <sz val="9"/>
            <color indexed="81"/>
            <rFont val="Tahoma"/>
            <family val="2"/>
          </rPr>
          <t>Jitendra Dhanji Bhanushali:</t>
        </r>
        <r>
          <rPr>
            <sz val="9"/>
            <color indexed="81"/>
            <rFont val="Tahoma"/>
            <family val="2"/>
          </rPr>
          <t xml:space="preserve">
27 of 2013</t>
        </r>
      </text>
    </comment>
    <comment ref="O16" authorId="0" shapeId="0" xr:uid="{00000000-0006-0000-2100-00000F000000}">
      <text>
        <r>
          <rPr>
            <b/>
            <sz val="9"/>
            <color indexed="81"/>
            <rFont val="Tahoma"/>
            <family val="2"/>
          </rPr>
          <t>Jitendra Dhanji Bhanushali:</t>
        </r>
        <r>
          <rPr>
            <sz val="9"/>
            <color indexed="81"/>
            <rFont val="Tahoma"/>
            <family val="2"/>
          </rPr>
          <t xml:space="preserve">
208 of 2014</t>
        </r>
      </text>
    </comment>
    <comment ref="P16" authorId="0" shapeId="0" xr:uid="{00000000-0006-0000-2100-000010000000}">
      <text>
        <r>
          <rPr>
            <b/>
            <sz val="9"/>
            <color indexed="81"/>
            <rFont val="Tahoma"/>
            <family val="2"/>
          </rPr>
          <t>Jitendra Dhanji Bhanushali:</t>
        </r>
        <r>
          <rPr>
            <sz val="9"/>
            <color indexed="81"/>
            <rFont val="Tahoma"/>
            <family val="2"/>
          </rPr>
          <t xml:space="preserve">
208 of 2014</t>
        </r>
      </text>
    </comment>
  </commentList>
</comments>
</file>

<file path=xl/sharedStrings.xml><?xml version="1.0" encoding="utf-8"?>
<sst xmlns="http://schemas.openxmlformats.org/spreadsheetml/2006/main" count="3191" uniqueCount="956">
  <si>
    <t>Income Tax</t>
  </si>
  <si>
    <t>Contribution to contingency reserves</t>
  </si>
  <si>
    <t>Regulatory Equity at the beginning of the year</t>
  </si>
  <si>
    <t>Regulatory Equity at the end of the year</t>
  </si>
  <si>
    <t>Particulars</t>
  </si>
  <si>
    <t>Return Computation</t>
  </si>
  <si>
    <t>Return on Regulatory Equity at the beginning of the year</t>
  </si>
  <si>
    <t>Total Return on Regulatory Equity</t>
  </si>
  <si>
    <t>Project Details</t>
  </si>
  <si>
    <t>Project Title</t>
  </si>
  <si>
    <t>Project Start Date</t>
  </si>
  <si>
    <t>Loan Amount</t>
  </si>
  <si>
    <t>Loan Source</t>
  </si>
  <si>
    <t>TOTAL</t>
  </si>
  <si>
    <t>Project Purpose</t>
  </si>
  <si>
    <t>Project Number</t>
  </si>
  <si>
    <t>Equity</t>
  </si>
  <si>
    <t>Debt</t>
  </si>
  <si>
    <t>Reference</t>
  </si>
  <si>
    <t>Balance at the beginning of the year</t>
  </si>
  <si>
    <t>Additions during the year</t>
  </si>
  <si>
    <t>Retirement of assets during the year</t>
  </si>
  <si>
    <t>Balance at the end of the year</t>
  </si>
  <si>
    <t>Total</t>
  </si>
  <si>
    <t xml:space="preserve">Interest on Working Capital </t>
  </si>
  <si>
    <t>Form 4</t>
  </si>
  <si>
    <t>Actual</t>
  </si>
  <si>
    <t>Project Completion date 
(Scheduled)</t>
  </si>
  <si>
    <t>Revised</t>
  </si>
  <si>
    <t>Less: Non Tariff Income</t>
  </si>
  <si>
    <t>Less: Income from Other Business</t>
  </si>
  <si>
    <t>Financing Plan</t>
  </si>
  <si>
    <t>Aggregate Revenue Requirement</t>
  </si>
  <si>
    <t>(Rs. Crore)</t>
  </si>
  <si>
    <t>Operation &amp; Maintenance Expenses</t>
  </si>
  <si>
    <t>Interest on Long-term Loan Capital</t>
  </si>
  <si>
    <t>Total Revenue Expenditure</t>
  </si>
  <si>
    <t>Remarks</t>
  </si>
  <si>
    <t>Less: Expenses Capitalised</t>
  </si>
  <si>
    <t>Accumulated depreciation at the beginning of the year</t>
  </si>
  <si>
    <t>Accumulated depreciation at the end of the year</t>
  </si>
  <si>
    <t>Withdrawals during the year</t>
  </si>
  <si>
    <t>Original</t>
  </si>
  <si>
    <t>Source of Loan</t>
  </si>
  <si>
    <t>Gross Interest Expenses</t>
  </si>
  <si>
    <t xml:space="preserve">Net Interest Expenses </t>
  </si>
  <si>
    <t>a</t>
  </si>
  <si>
    <t>b</t>
  </si>
  <si>
    <t>Interest on Security Deposit</t>
  </si>
  <si>
    <t>Tenure of Loan (years)</t>
  </si>
  <si>
    <t>Moratorium Period (years)</t>
  </si>
  <si>
    <t>Internal Accruals</t>
  </si>
  <si>
    <t>Interest Rate (% p.a.)</t>
  </si>
  <si>
    <t>Capital Expenditure</t>
  </si>
  <si>
    <t>B</t>
  </si>
  <si>
    <t>A</t>
  </si>
  <si>
    <t>(a)</t>
  </si>
  <si>
    <t>(b)</t>
  </si>
  <si>
    <t>April - March (Estimated)</t>
  </si>
  <si>
    <t>Estimated</t>
  </si>
  <si>
    <t xml:space="preserve">       </t>
  </si>
  <si>
    <t>(A) Gross Fixed Assets</t>
  </si>
  <si>
    <t>(B) Depreciation</t>
  </si>
  <si>
    <t>Form 2</t>
  </si>
  <si>
    <t>Form 5</t>
  </si>
  <si>
    <t>Form 6</t>
  </si>
  <si>
    <t xml:space="preserve">Actual </t>
  </si>
  <si>
    <t>Form 9</t>
  </si>
  <si>
    <t>Form 7</t>
  </si>
  <si>
    <t>Aggregate Revenue Requirement - Summary Sheet</t>
  </si>
  <si>
    <t>Form 1</t>
  </si>
  <si>
    <t>Assets &amp; Depreciation</t>
  </si>
  <si>
    <t>Interest Expenses</t>
  </si>
  <si>
    <t xml:space="preserve">Capital Expenditure Plan </t>
  </si>
  <si>
    <t>Return on Regulatory Equity</t>
  </si>
  <si>
    <t>Form 8</t>
  </si>
  <si>
    <t>Non-tariff Income</t>
  </si>
  <si>
    <t>Title</t>
  </si>
  <si>
    <t>Ensuing Years</t>
  </si>
  <si>
    <t>Project Code</t>
  </si>
  <si>
    <t>Benefits in Quantified Terms</t>
  </si>
  <si>
    <t>Capitalisation</t>
  </si>
  <si>
    <t>Debt Equity Ratio</t>
  </si>
  <si>
    <t>e</t>
  </si>
  <si>
    <t>…</t>
  </si>
  <si>
    <t>Physical Progress (%)</t>
  </si>
  <si>
    <t>Projected</t>
  </si>
  <si>
    <t>Form 3</t>
  </si>
  <si>
    <t>f</t>
  </si>
  <si>
    <t>Sub-total</t>
  </si>
  <si>
    <t>Form 1:  Aggregate Revenue Requirement - Summary Sheet</t>
  </si>
  <si>
    <t>Return on Equity Capital</t>
  </si>
  <si>
    <t>c</t>
  </si>
  <si>
    <t>Form 2.1</t>
  </si>
  <si>
    <t xml:space="preserve">Employee Expenses </t>
  </si>
  <si>
    <t>R&amp;M Expenses</t>
  </si>
  <si>
    <t>Form 2.3</t>
  </si>
  <si>
    <t xml:space="preserve">A&amp;G Expenses </t>
  </si>
  <si>
    <t>Form 2.4</t>
  </si>
  <si>
    <t>Form 2.2:  Transmission Network Details</t>
  </si>
  <si>
    <t>HVDC</t>
  </si>
  <si>
    <t>C</t>
  </si>
  <si>
    <t>Basic Salary</t>
  </si>
  <si>
    <t>House Rent Allowance</t>
  </si>
  <si>
    <t>Conveyance Allowance</t>
  </si>
  <si>
    <t>Leave Travel Allowance</t>
  </si>
  <si>
    <t>Earned Leave Encashment</t>
  </si>
  <si>
    <t>Other Allowances</t>
  </si>
  <si>
    <t>Medical Reimbursement</t>
  </si>
  <si>
    <t>Overtime Payment</t>
  </si>
  <si>
    <t>Bonus/Ex-Gratia Payments</t>
  </si>
  <si>
    <t xml:space="preserve">Interim Relief / Wage Revision </t>
  </si>
  <si>
    <t>Staff welfare expenses</t>
  </si>
  <si>
    <t>VRS Expenses/Retrenchment Compensation</t>
  </si>
  <si>
    <t>Commission to Directors</t>
  </si>
  <si>
    <t>Training Expenses</t>
  </si>
  <si>
    <t>Payment under Workmen's Compensation Act</t>
  </si>
  <si>
    <t>Net Employee Costs</t>
  </si>
  <si>
    <t>Provident Fund Contribution</t>
  </si>
  <si>
    <t>Provision for PF Fund</t>
  </si>
  <si>
    <t>Pension Payments</t>
  </si>
  <si>
    <t>Gratuity Payment</t>
  </si>
  <si>
    <t xml:space="preserve">Gross Employee Expenses </t>
  </si>
  <si>
    <t xml:space="preserve">Net Employee Expenses </t>
  </si>
  <si>
    <t>Rent Rates &amp; Taxes</t>
  </si>
  <si>
    <t>Insurance</t>
  </si>
  <si>
    <t>Telephone &amp; Postage, etc.</t>
  </si>
  <si>
    <t>Legal charges &amp; Audit fee</t>
  </si>
  <si>
    <t>Professional, Consultancy, Technical fee</t>
  </si>
  <si>
    <t>Conveyance &amp; Travel</t>
  </si>
  <si>
    <t>Electricity charges</t>
  </si>
  <si>
    <t>Water charges</t>
  </si>
  <si>
    <t>Security arrangements</t>
  </si>
  <si>
    <t>Fees &amp; subscription</t>
  </si>
  <si>
    <t>Books &amp; periodicals</t>
  </si>
  <si>
    <t>Computer Stationery</t>
  </si>
  <si>
    <t>Printing &amp; Stationery</t>
  </si>
  <si>
    <t xml:space="preserve">Advertisements </t>
  </si>
  <si>
    <t>Purchase Related Advertisement Expenses</t>
  </si>
  <si>
    <t>License Fee  and other related fee</t>
  </si>
  <si>
    <t>Vehicle Running Expenses Truck / Delivery Van</t>
  </si>
  <si>
    <t>Vehicle Hiring Expenses Truck / Delivery Van</t>
  </si>
  <si>
    <t>Outsourcing of metering and billing system</t>
  </si>
  <si>
    <t>Freight On Capital Equipments</t>
  </si>
  <si>
    <t>V-sat, Internet and related charges</t>
  </si>
  <si>
    <t>Training</t>
  </si>
  <si>
    <t>Bank Charges</t>
  </si>
  <si>
    <t>Gross A&amp;G Expenses</t>
  </si>
  <si>
    <t xml:space="preserve">Net A&amp;G Expenses </t>
  </si>
  <si>
    <t>Plant &amp; Machinery</t>
  </si>
  <si>
    <t>Buildings</t>
  </si>
  <si>
    <t>Civil Works</t>
  </si>
  <si>
    <t>Hydraulic Works</t>
  </si>
  <si>
    <t>Lines &amp; Cable Networks</t>
  </si>
  <si>
    <t>Vehicles</t>
  </si>
  <si>
    <t>Furniture &amp; Fixtures</t>
  </si>
  <si>
    <t>Office Equipment</t>
  </si>
  <si>
    <t>Gross R&amp;M Expenses</t>
  </si>
  <si>
    <t xml:space="preserve">Net R&amp;M Expenses </t>
  </si>
  <si>
    <t>Form 2.5</t>
  </si>
  <si>
    <t>Summary of Operations and Maintenance Expenses</t>
  </si>
  <si>
    <t>Approved</t>
  </si>
  <si>
    <t>a) DPR Schemes</t>
  </si>
  <si>
    <t>(i) In-principle approved by MERC</t>
  </si>
  <si>
    <t>(ii) Yet to receive in-principle MERC approval</t>
  </si>
  <si>
    <t>b) Non-DPR Schemes</t>
  </si>
  <si>
    <t>Capitalisation Plan</t>
  </si>
  <si>
    <t>Opening</t>
  </si>
  <si>
    <t>Closing</t>
  </si>
  <si>
    <t>Ckt km length</t>
  </si>
  <si>
    <t>Average</t>
  </si>
  <si>
    <t>d</t>
  </si>
  <si>
    <t>O&amp;M Expense (Bays), Rs Crore</t>
  </si>
  <si>
    <t>Number of Bays</t>
  </si>
  <si>
    <t>Ensuing Years (Projected)</t>
  </si>
  <si>
    <t>Opening Balance of Loan</t>
  </si>
  <si>
    <t>Loan Repayment during the year</t>
  </si>
  <si>
    <t>Closing Balance of Loan</t>
  </si>
  <si>
    <t>Applicable Interest Rate (%)</t>
  </si>
  <si>
    <t>One and a half months of the expected revenue from transmission charges at the prevailing tariffs</t>
  </si>
  <si>
    <t>Return on Equity portion of capitalisation during the year</t>
  </si>
  <si>
    <t>Capitalisation during the year</t>
  </si>
  <si>
    <t>Reduction in Equity Capital on account of retirement / replacement of assets</t>
  </si>
  <si>
    <t>Equity portion of capitalisation during the year</t>
  </si>
  <si>
    <t>Depreciation Expenses</t>
  </si>
  <si>
    <t>Consumer Contribution and Grants used during the year for Capitalisation</t>
  </si>
  <si>
    <t>MYT Petition Formats - Transmission</t>
  </si>
  <si>
    <t>MYT Petition  Formats - Transmission</t>
  </si>
  <si>
    <t>MYT Petition Formats  - Transmission</t>
  </si>
  <si>
    <t>MYT Petition  Formats  - Transmission</t>
  </si>
  <si>
    <t>MYT Petition Formats- Transmission</t>
  </si>
  <si>
    <t>Form 4: Assets &amp; Depreciation</t>
  </si>
  <si>
    <t>Approved Project Cost</t>
  </si>
  <si>
    <t>Opening CWIP</t>
  </si>
  <si>
    <t>Investment during the year</t>
  </si>
  <si>
    <t>Capital Work in Progress</t>
  </si>
  <si>
    <t>Closing CWIP</t>
  </si>
  <si>
    <t>Works Capitalised</t>
  </si>
  <si>
    <t>Interest Capitalised</t>
  </si>
  <si>
    <t>Expenses Capitalised</t>
  </si>
  <si>
    <t>Total Capitalisation</t>
  </si>
  <si>
    <t>Deviation</t>
  </si>
  <si>
    <t>Reason for Deviation</t>
  </si>
  <si>
    <t>Controllable</t>
  </si>
  <si>
    <t>Uncontrollable</t>
  </si>
  <si>
    <t>Revenue from transmission tariff</t>
  </si>
  <si>
    <t>Medium Term OA Users</t>
  </si>
  <si>
    <t>Short-term OA Users</t>
  </si>
  <si>
    <t>Revenue Gap/(Surplus)</t>
  </si>
  <si>
    <t>Form 2.2</t>
  </si>
  <si>
    <t>Transmission Network Details</t>
  </si>
  <si>
    <t>Capital Work-in-Progress</t>
  </si>
  <si>
    <t>Form 10</t>
  </si>
  <si>
    <t>FY 2017-18</t>
  </si>
  <si>
    <t>FY 2018-19</t>
  </si>
  <si>
    <t>FY 2019-20</t>
  </si>
  <si>
    <t>Income from rent of land or buildings</t>
  </si>
  <si>
    <t>Income from sale of scrap</t>
  </si>
  <si>
    <t>Income from investments</t>
  </si>
  <si>
    <t>Interest income on advances to suppliers/contractors</t>
  </si>
  <si>
    <t>Income from rental from contractors</t>
  </si>
  <si>
    <t>Income from rental from staff quarters</t>
  </si>
  <si>
    <t>Income from hire charges from contractors and others</t>
  </si>
  <si>
    <t>Supervision charges for capital works</t>
  </si>
  <si>
    <t>Income from advertisement</t>
  </si>
  <si>
    <t>Less: Income from Open Access charges</t>
  </si>
  <si>
    <t>Sr. No.</t>
  </si>
  <si>
    <t>Interest on Loan Capital</t>
  </si>
  <si>
    <t>Total Operation &amp; Maintenance Expenses (Net of capitalisation)</t>
  </si>
  <si>
    <t>Addition</t>
  </si>
  <si>
    <t>Transmission Line - Ckt-km Basis</t>
  </si>
  <si>
    <t>765 kV</t>
  </si>
  <si>
    <t>400 kV</t>
  </si>
  <si>
    <t>&gt;66 kV and &lt;400 kV</t>
  </si>
  <si>
    <t>66 kV and less</t>
  </si>
  <si>
    <t>220 kV</t>
  </si>
  <si>
    <t>132 kV</t>
  </si>
  <si>
    <t>Source of Financing for Capital Expenditure</t>
  </si>
  <si>
    <t>(C ) Net Fixed Assets</t>
  </si>
  <si>
    <t>Addition of Loan during the year</t>
  </si>
  <si>
    <t xml:space="preserve">Sr. No. </t>
  </si>
  <si>
    <t>Operations and Maintenance Expenses for one month</t>
  </si>
  <si>
    <t>Maintenance Spares @1% of the Opening GFA</t>
  </si>
  <si>
    <t>Rate of Interest (% p.a.) - SBI Base Rate plus 150 basis points</t>
  </si>
  <si>
    <t>… … …</t>
  </si>
  <si>
    <t>Interest on Working Capital and on Consumer Security Deposits</t>
  </si>
  <si>
    <t>A) Normative Loan</t>
  </si>
  <si>
    <t>Opening Balance of Gross Normative Loan</t>
  </si>
  <si>
    <t>Cumulative Repayment till the year</t>
  </si>
  <si>
    <t>Opening Balance of Net Normative Loan</t>
  </si>
  <si>
    <t>Less: Reduction of Normative Loan due to retirement or replacement of assets</t>
  </si>
  <si>
    <t>Repayment of Normative loan during the year</t>
  </si>
  <si>
    <t>Closing Balance of Net Normative Loan</t>
  </si>
  <si>
    <t>Closing Balance of Gross Normative Loan</t>
  </si>
  <si>
    <t>Financing Charges</t>
  </si>
  <si>
    <t>Form 5: Interest on Loan Capital</t>
  </si>
  <si>
    <t>One and a half month of the expected revenue from transmission charges at the prevailing tariffs</t>
  </si>
  <si>
    <t>Form 3.1</t>
  </si>
  <si>
    <t>Form 3.2</t>
  </si>
  <si>
    <t>Form 11</t>
  </si>
  <si>
    <t>Contribution to Contingency reserves</t>
  </si>
  <si>
    <t>Employee Expenses</t>
  </si>
  <si>
    <t>Form 2.3 :  Employee Expenses</t>
  </si>
  <si>
    <t>Form 2.4 :  Administration &amp; General Expenses</t>
  </si>
  <si>
    <t>Total Revenue</t>
  </si>
  <si>
    <t>Total Expenses</t>
  </si>
  <si>
    <t>Profit Before Tax</t>
  </si>
  <si>
    <t>c=a-b</t>
  </si>
  <si>
    <t>Tax Adjustment</t>
  </si>
  <si>
    <t>Add</t>
  </si>
  <si>
    <t>Depreciation considered in Expenses</t>
  </si>
  <si>
    <t>Other disallowance while computing IT</t>
  </si>
  <si>
    <t>Total Tax Disallowances</t>
  </si>
  <si>
    <t>f=d+e</t>
  </si>
  <si>
    <t>Less</t>
  </si>
  <si>
    <t>Tax Depreciation</t>
  </si>
  <si>
    <t>g</t>
  </si>
  <si>
    <t>Other expenses allowed for computing Income Tax</t>
  </si>
  <si>
    <t>h</t>
  </si>
  <si>
    <t>Deduction - U/s 80 IA</t>
  </si>
  <si>
    <t>i</t>
  </si>
  <si>
    <t>Other Deduction under IT</t>
  </si>
  <si>
    <t>j</t>
  </si>
  <si>
    <t>Exempt Income under IT</t>
  </si>
  <si>
    <t>k</t>
  </si>
  <si>
    <t>Total Tax Allowances</t>
  </si>
  <si>
    <t>l=g to k</t>
  </si>
  <si>
    <t>Total Taxable Income</t>
  </si>
  <si>
    <t>m=c+f-l</t>
  </si>
  <si>
    <t>Tax Payable at Normal rate (Corporate Tax Rate)</t>
  </si>
  <si>
    <t>n= m x Tax</t>
  </si>
  <si>
    <t xml:space="preserve">q = MAT working </t>
  </si>
  <si>
    <t xml:space="preserve">Tax Applicable </t>
  </si>
  <si>
    <t>r=max(n,q)</t>
  </si>
  <si>
    <t>Tax Paid</t>
  </si>
  <si>
    <t>s</t>
  </si>
  <si>
    <t>Tax Paid to Tax Provision</t>
  </si>
  <si>
    <t>t=s/r</t>
  </si>
  <si>
    <t>Tax to be recovered through ARR</t>
  </si>
  <si>
    <t>u = tx s</t>
  </si>
  <si>
    <t>MAT Computation</t>
  </si>
  <si>
    <t xml:space="preserve"> Add: Disallowances under Income Tax</t>
  </si>
  <si>
    <t>Sub total</t>
  </si>
  <si>
    <t xml:space="preserve"> Less: Deductions under Income Tax</t>
  </si>
  <si>
    <t>Book Profit</t>
  </si>
  <si>
    <t>k=c+d-e</t>
  </si>
  <si>
    <t>Form 6: Interest on Working Capital</t>
  </si>
  <si>
    <t>Form 12</t>
  </si>
  <si>
    <t>Interest on Working Capital and Security Deposits</t>
  </si>
  <si>
    <t xml:space="preserve">Truing Up Summary </t>
  </si>
  <si>
    <t>Income from sale of tender documents</t>
  </si>
  <si>
    <t>April-March      (Audited )</t>
  </si>
  <si>
    <t>True-Up requirement</t>
  </si>
  <si>
    <t>MTR Order*</t>
  </si>
  <si>
    <t>Apr-Sep    (Actual)</t>
  </si>
  <si>
    <t>Oct-Mar          (Estimated)</t>
  </si>
  <si>
    <t>Provisional True-Up requirement</t>
  </si>
  <si>
    <t>(c ) = (b) - (a)</t>
  </si>
  <si>
    <t>(d)</t>
  </si>
  <si>
    <t>(e)</t>
  </si>
  <si>
    <t>MTR Order</t>
  </si>
  <si>
    <t>Form 13</t>
  </si>
  <si>
    <t>Contribution to Contingency Reserves</t>
  </si>
  <si>
    <t>Add: Return on Equity Capital</t>
  </si>
  <si>
    <t>Applicable O&amp;M Cost Norm for Bays (Rs. Lakh / Bay) $</t>
  </si>
  <si>
    <t>Applicable O&amp;M cost Norm for Transmission Lines (Rs Lakh / ckt-km)$</t>
  </si>
  <si>
    <t>Form 2.1 :  Operation and Maintenance Expenses - Normative</t>
  </si>
  <si>
    <t>O&amp;M Expenses for Transmission Lines (Rs Crore)</t>
  </si>
  <si>
    <t>above 66 kV and less than 400 kV</t>
  </si>
  <si>
    <t>66 kV and below</t>
  </si>
  <si>
    <t>O &amp; M Expenses</t>
  </si>
  <si>
    <t>Transmission Line Length (Ckt-Km.)</t>
  </si>
  <si>
    <t>No. of Substations (Nos.)</t>
  </si>
  <si>
    <t>Total No. of Bays (Nos.)</t>
  </si>
  <si>
    <t>Transformation Capacity (MVA)</t>
  </si>
  <si>
    <t>B. Details of number of employees</t>
  </si>
  <si>
    <t>Officer/Managerial Cadre</t>
  </si>
  <si>
    <t>Technical</t>
  </si>
  <si>
    <t>Administrative</t>
  </si>
  <si>
    <t>Accounts and finance</t>
  </si>
  <si>
    <t>Other (Please specify)</t>
  </si>
  <si>
    <t>Staff Cadre</t>
  </si>
  <si>
    <t>Grade I</t>
  </si>
  <si>
    <t>Grade II</t>
  </si>
  <si>
    <t>Grade III</t>
  </si>
  <si>
    <t>Grade IV</t>
  </si>
  <si>
    <t>Others (please specify)</t>
  </si>
  <si>
    <t>Total Employees</t>
  </si>
  <si>
    <t>Addition of Normative Loan due to capitalisation during the year</t>
  </si>
  <si>
    <t>Average Balance of Net Normative Loan</t>
  </si>
  <si>
    <t>Weighted average Rate of Interest on actual Loans (%)</t>
  </si>
  <si>
    <t>Total Interest &amp; Financing Charges</t>
  </si>
  <si>
    <t>(f) = (e) - (d)</t>
  </si>
  <si>
    <t>B) Existing Actual Long-term Loans</t>
  </si>
  <si>
    <t>Average Loan Balance</t>
  </si>
  <si>
    <t>C ) Actual Loans drawn during the year</t>
  </si>
  <si>
    <t>Norm</t>
  </si>
  <si>
    <t>Total Working Capital Requirement</t>
  </si>
  <si>
    <t>Less: Amount of Security Deposit from Transmission System Users</t>
  </si>
  <si>
    <t>Interest on Working Capital</t>
  </si>
  <si>
    <t xml:space="preserve">Note: </t>
  </si>
  <si>
    <t xml:space="preserve"> * - In case MTR Order is yet to be issued, then MYT Order values to be captured under this column</t>
  </si>
  <si>
    <t>Petitioner should submit documentary evidence for actual interest on working capital incurred</t>
  </si>
  <si>
    <t>Opening Balance of MAT Credit available</t>
  </si>
  <si>
    <t>MAT paid during the year</t>
  </si>
  <si>
    <t>MAT Credit availed during the year</t>
  </si>
  <si>
    <t>Closing Balance of MAT Credit available</t>
  </si>
  <si>
    <t>4 = 1+2-3</t>
  </si>
  <si>
    <t>Tax Payable under MAT Rate</t>
  </si>
  <si>
    <t>….</t>
  </si>
  <si>
    <t>Note: 1. Please give Income Tax computation for each year separately for Transmission Business as a whole</t>
  </si>
  <si>
    <t>Scheduled Date of Commercial Operation</t>
  </si>
  <si>
    <t>Reasons for Delay, if any</t>
  </si>
  <si>
    <t>Liquidated Damages recoverable as per provisions of Contract*</t>
  </si>
  <si>
    <t>Capital Cost excluding IDC &amp; Financing Charges</t>
  </si>
  <si>
    <t>Component 1</t>
  </si>
  <si>
    <t>Component 2</t>
  </si>
  <si>
    <t>Capital cost excluding IDC &amp; Financing Charges</t>
  </si>
  <si>
    <t>Interest During Construction (IDC) &amp; Financing Charges (FC)</t>
  </si>
  <si>
    <t>Total IDC &amp; FC</t>
  </si>
  <si>
    <t>Capital cost Including IDC &amp; Financing Charges</t>
  </si>
  <si>
    <t xml:space="preserve">Break Down </t>
  </si>
  <si>
    <t>Break up of Capital Cost</t>
  </si>
  <si>
    <t xml:space="preserve">Variation </t>
  </si>
  <si>
    <t>Reasons for Variation</t>
  </si>
  <si>
    <t>Ordering Cost</t>
  </si>
  <si>
    <t>Contractors</t>
  </si>
  <si>
    <t>Foreign Currency Component (Specify Currency)</t>
  </si>
  <si>
    <t>Domestic Component</t>
  </si>
  <si>
    <t>Total Cost</t>
  </si>
  <si>
    <t>(c) = (a) + (b)</t>
  </si>
  <si>
    <t xml:space="preserve">Land </t>
  </si>
  <si>
    <t>Plant &amp; Equipment (BTG)</t>
  </si>
  <si>
    <t>Taxes and Duties</t>
  </si>
  <si>
    <t>Custom Duty</t>
  </si>
  <si>
    <t>Other Taxes &amp; Duties</t>
  </si>
  <si>
    <t>Total Taxes &amp; Duties</t>
  </si>
  <si>
    <t>Financing Charges (FC)</t>
  </si>
  <si>
    <t>Capital cost including IDC &amp; FC</t>
  </si>
  <si>
    <t>Name / No. of Construction / Supply / Service Package</t>
  </si>
  <si>
    <t>Scope of works (in line with head of cost break-ups as applicable)</t>
  </si>
  <si>
    <t>No. of bids recd.</t>
  </si>
  <si>
    <t>Date of Award</t>
  </si>
  <si>
    <t>Date of Start of Work</t>
  </si>
  <si>
    <t>Scheduled date of completion of work</t>
  </si>
  <si>
    <t>Actual date of completion of work</t>
  </si>
  <si>
    <t>Value of Award in Rs. Crore</t>
  </si>
  <si>
    <t>Firm or with Escalation in prices</t>
  </si>
  <si>
    <t>Total incl. Price Variation</t>
  </si>
  <si>
    <t>Actual expenditure till the completion or upto COD whichever is earlier (Rs. Crore)</t>
  </si>
  <si>
    <t>Original Financial Package</t>
  </si>
  <si>
    <t xml:space="preserve">Currency </t>
  </si>
  <si>
    <t>Amount in foreign currency (for foreign loans)</t>
  </si>
  <si>
    <t>Equivalent Amount in Rs Crore</t>
  </si>
  <si>
    <t>Currency</t>
  </si>
  <si>
    <t>Loan</t>
  </si>
  <si>
    <t>Total Loan</t>
  </si>
  <si>
    <t>Equity-</t>
  </si>
  <si>
    <t>Foreign</t>
  </si>
  <si>
    <t xml:space="preserve">Domestic </t>
  </si>
  <si>
    <t>Internal Accurals</t>
  </si>
  <si>
    <t>Total Equity</t>
  </si>
  <si>
    <t>Undischarged Liabilities</t>
  </si>
  <si>
    <t>Debt : Equity Ratio (Excluding Undischarged Liabilities)</t>
  </si>
  <si>
    <t>Note : Please submit copy of sanction letters/Loan Agreements for each loan</t>
  </si>
  <si>
    <t>Source of Loan/Name of Agency</t>
  </si>
  <si>
    <t>Amount of Loan sanctioned (Rs. Crore)</t>
  </si>
  <si>
    <t>Fixed Interest Rate, if applicable</t>
  </si>
  <si>
    <t>If above is yes,specify caps/floor</t>
  </si>
  <si>
    <t>Moratorium effective from</t>
  </si>
  <si>
    <t>Repayment effective from</t>
  </si>
  <si>
    <t>Year</t>
  </si>
  <si>
    <t xml:space="preserve">Work/Equipment added after COD </t>
  </si>
  <si>
    <t>Amount Capitalised / Proposed to be capitalised</t>
  </si>
  <si>
    <t>Justification</t>
  </si>
  <si>
    <t>Capital Cost Approval Petition Formats - Transmission</t>
  </si>
  <si>
    <t>Actual Date of Commercial Operation of Transmission System</t>
  </si>
  <si>
    <t>Capital Cost as per Original Estimates</t>
  </si>
  <si>
    <t>Actual Capital Cost as on COD of Transmission System</t>
  </si>
  <si>
    <t>As on COD of Transmission System</t>
  </si>
  <si>
    <t>... ... ...</t>
  </si>
  <si>
    <t>Cost of Land</t>
  </si>
  <si>
    <t>Transmission Lines</t>
  </si>
  <si>
    <t>Susbstations Bays</t>
  </si>
  <si>
    <t xml:space="preserve">Interest During Construction (IDC) </t>
  </si>
  <si>
    <t>Transmission System Cost as on COD (Rs Crore): _______________</t>
  </si>
  <si>
    <t>Date of Commercial Operation of Transmission System : _________________</t>
  </si>
  <si>
    <t xml:space="preserve">Financial Package as on COD </t>
  </si>
  <si>
    <t>Financial Year (Starting from COD)</t>
  </si>
  <si>
    <t>Amount capitalised</t>
  </si>
  <si>
    <t>Financing Details</t>
  </si>
  <si>
    <t>Internal Resources</t>
  </si>
  <si>
    <t>Others (Pls provide details)</t>
  </si>
  <si>
    <t>Sl. No.</t>
  </si>
  <si>
    <t>Financial Year</t>
  </si>
  <si>
    <t>Year 1</t>
  </si>
  <si>
    <t>………</t>
  </si>
  <si>
    <t>Year n</t>
  </si>
  <si>
    <t>Draw Down</t>
  </si>
  <si>
    <t>Q-1</t>
  </si>
  <si>
    <t>Q-2</t>
  </si>
  <si>
    <t>Q-3</t>
  </si>
  <si>
    <t>Q-4</t>
  </si>
  <si>
    <t>Loans</t>
  </si>
  <si>
    <t>Loan 1</t>
  </si>
  <si>
    <t xml:space="preserve">Draw down Amount </t>
  </si>
  <si>
    <t>Cumulative</t>
  </si>
  <si>
    <t>IDC</t>
  </si>
  <si>
    <t>Financing charges/Guarantee Fee</t>
  </si>
  <si>
    <t>Other (pls provide details)</t>
  </si>
  <si>
    <t>Loan 2</t>
  </si>
  <si>
    <t>……..</t>
  </si>
  <si>
    <t>Total Loans</t>
  </si>
  <si>
    <t>Equity drawn</t>
  </si>
  <si>
    <t>Domestic/Foreign</t>
  </si>
  <si>
    <t xml:space="preserve">Internal Accruals </t>
  </si>
  <si>
    <t>Total equity deployed</t>
  </si>
  <si>
    <t>Project Schedule</t>
  </si>
  <si>
    <t>Abstract of Capital Cost</t>
  </si>
  <si>
    <t>Breakup of Capital Cost</t>
  </si>
  <si>
    <t>Financial Package</t>
  </si>
  <si>
    <t>Details of Loans</t>
  </si>
  <si>
    <t>Details of Additional Capitalisation after COD</t>
  </si>
  <si>
    <t>Financing of Additional Capitalisation</t>
  </si>
  <si>
    <t>Drawdown Schedule and Computation of IDC and Financing Charges</t>
  </si>
  <si>
    <t>Breakup of Construction/Supply/Services</t>
  </si>
  <si>
    <t>Payment Efficiency</t>
  </si>
  <si>
    <t>Schedule Payment</t>
  </si>
  <si>
    <t>Payment made</t>
  </si>
  <si>
    <t>Delay in payment (days)</t>
  </si>
  <si>
    <t>Amount Pending (Rs. Crore)</t>
  </si>
  <si>
    <t>Month/Date</t>
  </si>
  <si>
    <t>Amount (Rs. Crore)</t>
  </si>
  <si>
    <t>Due date</t>
  </si>
  <si>
    <t>% of Amount paid</t>
  </si>
  <si>
    <t>Income from Transmission Charges</t>
  </si>
  <si>
    <t>Income from Open Access Charges</t>
  </si>
  <si>
    <t>$ Approved figure for Income from Transmission Charges shall be considered from InSTS Order for respective year</t>
  </si>
  <si>
    <t>Form 7: Return on Regulatory Equity</t>
  </si>
  <si>
    <t>Transmission Bays - 'Number of bays' basis</t>
  </si>
  <si>
    <t>Contribution to Contingency Reserves during the year</t>
  </si>
  <si>
    <t>Utilisation of Contingency Reserves during the year</t>
  </si>
  <si>
    <t>Opening Gross Fixed Assets</t>
  </si>
  <si>
    <t>Opening Balance of Contingency Reserves as % of Opening GFA</t>
  </si>
  <si>
    <t>Opening Balance of Contingency Reserves</t>
  </si>
  <si>
    <t>Closing Balance of Contingency Reserves</t>
  </si>
  <si>
    <t>Closing Balance of Contingency Reserves as % of Opening GFA</t>
  </si>
  <si>
    <t>Scheduled Payment against Long Term Loans</t>
  </si>
  <si>
    <t>Month/ Date</t>
  </si>
  <si>
    <t>Interest on Working Capital and on security deposits</t>
  </si>
  <si>
    <t>Aggregate Revenue Requirement from Transmission Tariff</t>
  </si>
  <si>
    <t>Long-term TSUs incl Distribution Licensees</t>
  </si>
  <si>
    <t>Whether awarded through ICB/DCB/ Departmentally</t>
  </si>
  <si>
    <t>Documentary evidence towards investment of amounts under Contingency Reserve should be submitted</t>
  </si>
  <si>
    <t>Form 3.3:  Capital Work-in-progress - Project-wise details</t>
  </si>
  <si>
    <t xml:space="preserve">Form 3.2: Capitalisation Plan </t>
  </si>
  <si>
    <t xml:space="preserve">Form 3.1: Capital Expenditure Plan </t>
  </si>
  <si>
    <t>Capitalisation + IDC</t>
  </si>
  <si>
    <t>Form 3:  Summary of Capital Expenditure and Capitalisation</t>
  </si>
  <si>
    <t>Form 3.3</t>
  </si>
  <si>
    <t>Summary of Capital Expenditure and Capitalisation</t>
  </si>
  <si>
    <t>Actual Working Capital Interest</t>
  </si>
  <si>
    <t>MERC Approval No.</t>
  </si>
  <si>
    <t>MERC Approval Date</t>
  </si>
  <si>
    <t>Actual Capital Cost Incurred</t>
  </si>
  <si>
    <t>Net Entitlement after sharing of gains/(losses)</t>
  </si>
  <si>
    <t>Capital Cost</t>
  </si>
  <si>
    <t>MERC Approved Cost</t>
  </si>
  <si>
    <t>Approved Start Date</t>
  </si>
  <si>
    <t>Actual Start Date</t>
  </si>
  <si>
    <t>Actual Date of Completion</t>
  </si>
  <si>
    <t>Approved Date of Completion</t>
  </si>
  <si>
    <t>Capital Cost Approval for Transmission System *</t>
  </si>
  <si>
    <t>H1</t>
  </si>
  <si>
    <t>H2</t>
  </si>
  <si>
    <t>Cumulative Expenditure Incurred till beginning of the Year</t>
  </si>
  <si>
    <t>Capital Expenditure Capitalised</t>
  </si>
  <si>
    <t>2. * Copies of Contract to be submitted</t>
  </si>
  <si>
    <t>(f) = (d) + (e)</t>
  </si>
  <si>
    <t>(g) = (f) - (c)</t>
  </si>
  <si>
    <t>FY 2020-21</t>
  </si>
  <si>
    <t>FY 2021-22</t>
  </si>
  <si>
    <t>FY 2022-23</t>
  </si>
  <si>
    <t>FY 2023-24</t>
  </si>
  <si>
    <t>FY 2024-25</t>
  </si>
  <si>
    <t>(f ) = (e) - (d)</t>
  </si>
  <si>
    <t>(g)</t>
  </si>
  <si>
    <t>(h)</t>
  </si>
  <si>
    <t xml:space="preserve">(i) </t>
  </si>
  <si>
    <t>(j) = (h) + (i)</t>
  </si>
  <si>
    <t>(k) = (j) - (g)</t>
  </si>
  <si>
    <t>FY 2019-20 Estimated</t>
  </si>
  <si>
    <t>(c)</t>
  </si>
  <si>
    <t xml:space="preserve">(d) </t>
  </si>
  <si>
    <t>(e) = (c) + (d)</t>
  </si>
  <si>
    <t xml:space="preserve">Projected </t>
  </si>
  <si>
    <t>System Automation</t>
  </si>
  <si>
    <t>New Technology</t>
  </si>
  <si>
    <t>I.T. Implementation</t>
  </si>
  <si>
    <t>Opex Schemes</t>
  </si>
  <si>
    <t xml:space="preserve">          2. Expenses that would be classified as O&amp;M expenses shall not be categorised under non-DPR schemes</t>
  </si>
  <si>
    <t xml:space="preserve">               2. Expenses that would be classified as O&amp;M expenses shall not be categorised under non-DPR schemes</t>
  </si>
  <si>
    <t>Actual Capex till FY 2016-17</t>
  </si>
  <si>
    <t>Actual Progress till FY 2016-17</t>
  </si>
  <si>
    <t>Actual Capitalisation till FY 2016-17</t>
  </si>
  <si>
    <t xml:space="preserve">              2. Expenses that would be classified as O&amp;M expenses shall not be categorised under non-DPR schemes</t>
  </si>
  <si>
    <t>Audited</t>
  </si>
  <si>
    <t>(i) = (h) - (g)</t>
  </si>
  <si>
    <t>A) FY 2017-18, FY 2018-19 and FY 2019-20</t>
  </si>
  <si>
    <t>Capitalisation during the year $</t>
  </si>
  <si>
    <t>Return on Equity Computation</t>
  </si>
  <si>
    <t xml:space="preserve">Return on Regulatory Equity at the beginning of the year </t>
  </si>
  <si>
    <t xml:space="preserve">Return on Regulatory Equity addition during the year </t>
  </si>
  <si>
    <t>Total Return on Equity</t>
  </si>
  <si>
    <t>April-March      (Audited )*</t>
  </si>
  <si>
    <t>FY 2018-19*</t>
  </si>
  <si>
    <t>Actual Income Tax paid by the Entity #</t>
  </si>
  <si>
    <t>Effective Tax Rate of the Company (%) $</t>
  </si>
  <si>
    <t>c = (b/a)</t>
  </si>
  <si>
    <t>Base Rate of Return on Equity</t>
  </si>
  <si>
    <t>Rate of Pre Tax Return on Equity (%)</t>
  </si>
  <si>
    <t># Income tax paid on incentive, efficiency gains, Delayed Payment Charges, Interest on Delayed Payment, Income from Other Business, Income from any other source not considered in ARR is to be excluded from actual Income Tax paid, and shown separately</t>
  </si>
  <si>
    <t xml:space="preserve">$ In case Entity is paying Minimum Alternate Tax (MAT), effective rate shall be considered as MAT rate including surcharge and cess </t>
  </si>
  <si>
    <t>Year : FY 2017-18</t>
  </si>
  <si>
    <t>Year : FY 2018-19</t>
  </si>
  <si>
    <t>*In case MTR Order is yet to be issued, then MYT Order values to be captured under this column</t>
  </si>
  <si>
    <t>Claim for additional capitalization shall be substantiated with the technical justification duly supported by documentary evidence</t>
  </si>
  <si>
    <t>Transmission Company shall submit a report on impact assessment done by any reputed third-party technical expert/agency for additional capitalization necessary for efficient operation</t>
  </si>
  <si>
    <t>Land</t>
  </si>
  <si>
    <t>Depreciation as on 1st April 2005</t>
  </si>
  <si>
    <t>2005-06</t>
  </si>
  <si>
    <t>2006-07</t>
  </si>
  <si>
    <t>2007-08</t>
  </si>
  <si>
    <t>2008-09</t>
  </si>
  <si>
    <t>2009-10</t>
  </si>
  <si>
    <t>2010-11</t>
  </si>
  <si>
    <t>2011-12</t>
  </si>
  <si>
    <t>2012-13</t>
  </si>
  <si>
    <t>2013-14</t>
  </si>
  <si>
    <t>2014-15</t>
  </si>
  <si>
    <t>2015-16</t>
  </si>
  <si>
    <t>2016-17</t>
  </si>
  <si>
    <t>2017-18</t>
  </si>
  <si>
    <t>2018-19</t>
  </si>
  <si>
    <t>Asset crossing 90% depreciation</t>
  </si>
  <si>
    <t>Remaining Depreciable value</t>
  </si>
  <si>
    <t xml:space="preserve">Opening </t>
  </si>
  <si>
    <t>2019-20</t>
  </si>
  <si>
    <t>2020-21</t>
  </si>
  <si>
    <t>2021-22</t>
  </si>
  <si>
    <t>2022-23</t>
  </si>
  <si>
    <t>2023-24</t>
  </si>
  <si>
    <t>2024-25</t>
  </si>
  <si>
    <t xml:space="preserve"> </t>
  </si>
  <si>
    <t>Depreciation Schedule</t>
  </si>
  <si>
    <t>Rate of Interest (% p.a.) - Bank Rate</t>
  </si>
  <si>
    <t>Pretax Return on Equity after considering effective Tax rate$$</t>
  </si>
  <si>
    <t>2. Income tax paid on incentive, efficiency gains, Delayed Payment Charges, and Interest on Delayed Payment to be excluded from actual Income Tax paid, and shown separately</t>
  </si>
  <si>
    <t>HVDC (in Rs. Lakh)</t>
  </si>
  <si>
    <t>Total O&amp;M Expenses (A+B)</t>
  </si>
  <si>
    <t>(Numbers)</t>
  </si>
  <si>
    <t>Grants/ Consumer Contribution</t>
  </si>
  <si>
    <t>Asset not in use</t>
  </si>
  <si>
    <t>(e) = (a)+(b)-(c)-(d)</t>
  </si>
  <si>
    <t>(f)</t>
  </si>
  <si>
    <t>(i)</t>
  </si>
  <si>
    <t>(k)</t>
  </si>
  <si>
    <t>(l)</t>
  </si>
  <si>
    <t>(m)</t>
  </si>
  <si>
    <t>(n)</t>
  </si>
  <si>
    <t>(p)</t>
  </si>
  <si>
    <t>(q)</t>
  </si>
  <si>
    <t>(r)</t>
  </si>
  <si>
    <t>(s)</t>
  </si>
  <si>
    <t>Revised Normative</t>
  </si>
  <si>
    <t>Equity portion of capitalisation during the year #</t>
  </si>
  <si>
    <t>Form 8: Non-Tariff Income</t>
  </si>
  <si>
    <t>e = d /(1-c)</t>
  </si>
  <si>
    <t>Base Rate of Return on Equity (%)</t>
  </si>
  <si>
    <t>Total Gross Income of Regulated Entity (Rs. Crore)</t>
  </si>
  <si>
    <t>Formula</t>
  </si>
  <si>
    <t>Depreciation Rate for that Year</t>
  </si>
  <si>
    <t>Depreciation during the Year</t>
  </si>
  <si>
    <t>A) Scheduled and Actual Payment against Loans</t>
  </si>
  <si>
    <t xml:space="preserve">$ Any additional capitalization after cut-off date excluding due to Change in Law shall be excluded for consideration on base rate of return on equity </t>
  </si>
  <si>
    <t>Operation and Maintenance Expenses -Normative</t>
  </si>
  <si>
    <t>Administration &amp; General Expenses</t>
  </si>
  <si>
    <t>Repair &amp; Maintenance Expenses</t>
  </si>
  <si>
    <t>Form 2.5 :  Repair &amp; Maintenance Expenses</t>
  </si>
  <si>
    <t>(i) = (e)+(f)-(g)-(h)</t>
  </si>
  <si>
    <t>(j)</t>
  </si>
  <si>
    <t>(m) = (i)+(j)-(k)-(l)</t>
  </si>
  <si>
    <t>(o)</t>
  </si>
  <si>
    <t>(q) = (m)+(n)-(o)-(p)</t>
  </si>
  <si>
    <t>(t)</t>
  </si>
  <si>
    <t>(u) = (q)+(r)-(s)-(t)</t>
  </si>
  <si>
    <t>(u)</t>
  </si>
  <si>
    <t>(v)</t>
  </si>
  <si>
    <t>(w)</t>
  </si>
  <si>
    <t>(x)</t>
  </si>
  <si>
    <t>(y) = (u)+(v)-(w)-(x)</t>
  </si>
  <si>
    <t>(y)</t>
  </si>
  <si>
    <t>(z)</t>
  </si>
  <si>
    <t>(aa)</t>
  </si>
  <si>
    <t>(ab)</t>
  </si>
  <si>
    <t>(ac) = (y)+(z)-(aa)-(ab)</t>
  </si>
  <si>
    <t>(ac)</t>
  </si>
  <si>
    <t>(ad)</t>
  </si>
  <si>
    <t>(ae)</t>
  </si>
  <si>
    <t>(af)</t>
  </si>
  <si>
    <t>(ag) = (ac)+(ad)-(ae)-(af)</t>
  </si>
  <si>
    <t xml:space="preserve">Deviation = Approved - Actual on account of </t>
  </si>
  <si>
    <t>Change in Scope of Work (a)</t>
  </si>
  <si>
    <t>Material Cost (b)</t>
  </si>
  <si>
    <t>IDC (c)</t>
  </si>
  <si>
    <t>Others (d)</t>
  </si>
  <si>
    <t>Total Deviation (a+b+c+d)</t>
  </si>
  <si>
    <t>Change in Scope of Work</t>
  </si>
  <si>
    <t>Any other reason</t>
  </si>
  <si>
    <t>Form 9 (A):  Income Tax</t>
  </si>
  <si>
    <t>Form 9 (B):  MAT Credit Available</t>
  </si>
  <si>
    <t>Form 9 (C):  Income Tax on Regulatory Profit Before Tax</t>
  </si>
  <si>
    <t>Form 9 (D):  Computation of Effective Tax Rate</t>
  </si>
  <si>
    <t>Form 10:  Contribution to Contingency Reserves</t>
  </si>
  <si>
    <t>Form 11: Income from Transmission Charges</t>
  </si>
  <si>
    <t>Form 12: Payment Efficiency</t>
  </si>
  <si>
    <t>Form 13:  Truing-up Summary</t>
  </si>
  <si>
    <t>Form 14.1</t>
  </si>
  <si>
    <t>Form 14.1 - Project Schedule</t>
  </si>
  <si>
    <t>Form 14.2</t>
  </si>
  <si>
    <t>Form 14.2 - Abstract of Capital Cost</t>
  </si>
  <si>
    <t>Form 14.3 -Breakup of Capital Cost</t>
  </si>
  <si>
    <t>Form 14.3</t>
  </si>
  <si>
    <t>Form 14.4</t>
  </si>
  <si>
    <t>Form 14.4 : Break up of Construction / Supply / Services</t>
  </si>
  <si>
    <t>Form 14.5 : Financial Package</t>
  </si>
  <si>
    <t>Form 14.5</t>
  </si>
  <si>
    <t>Form 14.6</t>
  </si>
  <si>
    <t>Form 14.6 : Details of Loans</t>
  </si>
  <si>
    <t>Form 14.7: Details of Additional Capitalisation after COD</t>
  </si>
  <si>
    <t>Form 14.7</t>
  </si>
  <si>
    <t>Form 14.8</t>
  </si>
  <si>
    <t>Form 14.8: Financing of Additional Capitalisation</t>
  </si>
  <si>
    <t>Form 14.9: Drawdown Schedule and Computation of IDC and Financing Charges</t>
  </si>
  <si>
    <t>Form 14.9</t>
  </si>
  <si>
    <t>Form 15:  Depreciation Schedule</t>
  </si>
  <si>
    <t>Form 15</t>
  </si>
  <si>
    <t>Asset as on 1st April/Asset Addition during the Year</t>
  </si>
  <si>
    <t>Jaigad Power Transco Ltd</t>
  </si>
  <si>
    <t>Form 2 :  Summary of Operations and Maintenance Expenses (Rs Crs)</t>
  </si>
  <si>
    <t>Computers</t>
  </si>
  <si>
    <t>Furniture and Fixtures</t>
  </si>
  <si>
    <r>
      <rPr>
        <b/>
        <sz val="11"/>
        <rFont val="Calibri"/>
        <family val="2"/>
        <scheme val="minor"/>
      </rPr>
      <t>Note</t>
    </r>
    <r>
      <rPr>
        <sz val="11"/>
        <rFont val="Calibri"/>
        <family val="2"/>
        <scheme val="minor"/>
      </rPr>
      <t>: * Applicable only for new Transmission Project for which Provisional/Final tariff approval is being sought</t>
    </r>
  </si>
  <si>
    <r>
      <rPr>
        <b/>
        <sz val="11"/>
        <rFont val="Calibri"/>
        <family val="2"/>
        <scheme val="minor"/>
      </rPr>
      <t>Note</t>
    </r>
    <r>
      <rPr>
        <sz val="11"/>
        <rFont val="Calibri"/>
        <family val="2"/>
        <scheme val="minor"/>
      </rPr>
      <t>: Applicable only for new Transmission Project for which Provisional/Final tariff approval is being sought</t>
    </r>
  </si>
  <si>
    <r>
      <t>Amount of Gross Loan drawn upto COD</t>
    </r>
    <r>
      <rPr>
        <vertAlign val="superscript"/>
        <sz val="11"/>
        <rFont val="Calibri"/>
        <family val="2"/>
        <scheme val="minor"/>
      </rPr>
      <t xml:space="preserve"> </t>
    </r>
    <r>
      <rPr>
        <sz val="11"/>
        <rFont val="Calibri"/>
        <family val="2"/>
        <scheme val="minor"/>
      </rPr>
      <t>(Rs. Crore)</t>
    </r>
  </si>
  <si>
    <r>
      <t>Interest Type</t>
    </r>
    <r>
      <rPr>
        <vertAlign val="superscript"/>
        <sz val="11"/>
        <rFont val="Calibri"/>
        <family val="2"/>
        <scheme val="minor"/>
      </rPr>
      <t>1</t>
    </r>
  </si>
  <si>
    <r>
      <t>Base Rate, if Floating Interest</t>
    </r>
    <r>
      <rPr>
        <vertAlign val="superscript"/>
        <sz val="11"/>
        <rFont val="Calibri"/>
        <family val="2"/>
        <scheme val="minor"/>
      </rPr>
      <t>2</t>
    </r>
  </si>
  <si>
    <r>
      <t>Margin, if Floating Interest</t>
    </r>
    <r>
      <rPr>
        <vertAlign val="superscript"/>
        <sz val="11"/>
        <rFont val="Calibri"/>
        <family val="2"/>
        <scheme val="minor"/>
      </rPr>
      <t>3</t>
    </r>
  </si>
  <si>
    <r>
      <t>Are there any Caps/Floor</t>
    </r>
    <r>
      <rPr>
        <vertAlign val="superscript"/>
        <sz val="11"/>
        <rFont val="Calibri"/>
        <family val="2"/>
        <scheme val="minor"/>
      </rPr>
      <t>4</t>
    </r>
  </si>
  <si>
    <r>
      <t>Moratorium Period</t>
    </r>
    <r>
      <rPr>
        <vertAlign val="superscript"/>
        <sz val="11"/>
        <rFont val="Calibri"/>
        <family val="2"/>
        <scheme val="minor"/>
      </rPr>
      <t>5</t>
    </r>
  </si>
  <si>
    <r>
      <t>Repayment Period</t>
    </r>
    <r>
      <rPr>
        <vertAlign val="superscript"/>
        <sz val="11"/>
        <rFont val="Calibri"/>
        <family val="2"/>
        <scheme val="minor"/>
      </rPr>
      <t>6</t>
    </r>
  </si>
  <si>
    <r>
      <t>Repayment Frequency</t>
    </r>
    <r>
      <rPr>
        <vertAlign val="superscript"/>
        <sz val="11"/>
        <rFont val="Calibri"/>
        <family val="2"/>
        <scheme val="minor"/>
      </rPr>
      <t>7</t>
    </r>
  </si>
  <si>
    <r>
      <t>Repayment Instalment</t>
    </r>
    <r>
      <rPr>
        <vertAlign val="superscript"/>
        <sz val="11"/>
        <rFont val="Calibri"/>
        <family val="2"/>
        <scheme val="minor"/>
      </rPr>
      <t>8,9,10</t>
    </r>
  </si>
  <si>
    <r>
      <t>Base Exchange Rate</t>
    </r>
    <r>
      <rPr>
        <vertAlign val="superscript"/>
        <sz val="11"/>
        <rFont val="Calibri"/>
        <family val="2"/>
        <scheme val="minor"/>
      </rPr>
      <t>15</t>
    </r>
  </si>
  <si>
    <r>
      <t>1</t>
    </r>
    <r>
      <rPr>
        <sz val="11"/>
        <rFont val="Calibri"/>
        <family val="2"/>
        <scheme val="minor"/>
      </rPr>
      <t xml:space="preserve"> Interest type means whether the interest is fixed or floating.</t>
    </r>
  </si>
  <si>
    <r>
      <t>2</t>
    </r>
    <r>
      <rPr>
        <sz val="11"/>
        <rFont val="Calibri"/>
        <family val="2"/>
        <scheme val="minor"/>
      </rPr>
      <t xml:space="preserve"> Base rate means the base as PLR, LIBOR etc. over which the margin is to be added. Applicable base rate on different dates from the date of drawal may also be enclosed.</t>
    </r>
  </si>
  <si>
    <r>
      <t xml:space="preserve">3 </t>
    </r>
    <r>
      <rPr>
        <sz val="11"/>
        <rFont val="Calibri"/>
        <family val="2"/>
        <scheme val="minor"/>
      </rPr>
      <t>Margin means the points over and above the floating rate.</t>
    </r>
  </si>
  <si>
    <r>
      <t>4</t>
    </r>
    <r>
      <rPr>
        <sz val="11"/>
        <rFont val="Calibri"/>
        <family val="2"/>
        <scheme val="minor"/>
      </rPr>
      <t xml:space="preserve"> At times caps/floor are put at which the floating rates are frozen. If such a condition exists, specify the limits.</t>
    </r>
  </si>
  <si>
    <r>
      <t>5</t>
    </r>
    <r>
      <rPr>
        <sz val="11"/>
        <rFont val="Calibri"/>
        <family val="2"/>
        <scheme val="minor"/>
      </rPr>
      <t xml:space="preserve"> Moratorium period refers to the period during which loan repayment is not required.</t>
    </r>
  </si>
  <si>
    <r>
      <t>6</t>
    </r>
    <r>
      <rPr>
        <sz val="11"/>
        <rFont val="Calibri"/>
        <family val="2"/>
        <scheme val="minor"/>
      </rPr>
      <t xml:space="preserve"> Repayment period means the repayment of loan such as  10 years, 15 years etc.</t>
    </r>
  </si>
  <si>
    <r>
      <t>7</t>
    </r>
    <r>
      <rPr>
        <sz val="11"/>
        <rFont val="Calibri"/>
        <family val="2"/>
        <scheme val="minor"/>
      </rPr>
      <t xml:space="preserve"> Repayment frequency means the interval at which the debt servicing is to be done such as monthly, quarterly, half yearly, etc</t>
    </r>
  </si>
  <si>
    <r>
      <t>8</t>
    </r>
    <r>
      <rPr>
        <sz val="11"/>
        <rFont val="Calibri"/>
        <family val="2"/>
        <scheme val="minor"/>
      </rPr>
      <t xml:space="preserve"> Where there is more than one drawal/repayment for a loan, the date &amp; amount of each drawal/repayement may also be given seperately</t>
    </r>
  </si>
  <si>
    <r>
      <t>9</t>
    </r>
    <r>
      <rPr>
        <sz val="11"/>
        <rFont val="Calibri"/>
        <family val="2"/>
        <scheme val="minor"/>
      </rPr>
      <t xml:space="preserve"> If the repayment  instalment amount and repayment date  can not be worked out from the data furnished above, the repayment schedule to be  furnished seperately.</t>
    </r>
  </si>
  <si>
    <r>
      <t>10</t>
    </r>
    <r>
      <rPr>
        <sz val="11"/>
        <rFont val="Calibri"/>
        <family val="2"/>
        <scheme val="minor"/>
      </rPr>
      <t xml:space="preserve"> In case of Foreign loan,date of each  drawal &amp; repayment alongwith exchange rate at that date may be given.</t>
    </r>
  </si>
  <si>
    <r>
      <t>11</t>
    </r>
    <r>
      <rPr>
        <sz val="11"/>
        <rFont val="Calibri"/>
        <family val="2"/>
        <scheme val="minor"/>
      </rPr>
      <t xml:space="preserve"> Base exchange rate means the exchange rate prevailing as on COD </t>
    </r>
  </si>
  <si>
    <r>
      <rPr>
        <b/>
        <sz val="11"/>
        <rFont val="Calibri"/>
        <family val="2"/>
        <scheme val="minor"/>
      </rPr>
      <t>Note</t>
    </r>
    <r>
      <rPr>
        <sz val="11"/>
        <rFont val="Calibri"/>
        <family val="2"/>
        <scheme val="minor"/>
      </rPr>
      <t>: Please give detailed explanation separately for the deviations on account of uncontrollable factors</t>
    </r>
  </si>
  <si>
    <r>
      <rPr>
        <b/>
        <sz val="11"/>
        <rFont val="Calibri"/>
        <family val="2"/>
        <scheme val="minor"/>
      </rPr>
      <t>Note</t>
    </r>
    <r>
      <rPr>
        <sz val="11"/>
        <rFont val="Calibri"/>
        <family val="2"/>
        <scheme val="minor"/>
      </rPr>
      <t>: * - In case MTR Order is yet to be issued, then MYT Order values to be captured under this column</t>
    </r>
  </si>
  <si>
    <r>
      <rPr>
        <b/>
        <sz val="11"/>
        <rFont val="Calibri"/>
        <family val="2"/>
        <scheme val="minor"/>
      </rPr>
      <t>Note</t>
    </r>
    <r>
      <rPr>
        <sz val="11"/>
        <rFont val="Calibri"/>
        <family val="2"/>
        <scheme val="minor"/>
      </rPr>
      <t>: 1. * - Documentary proof in the form of Challans for actual Income Tax paid needs to be submitted</t>
    </r>
  </si>
  <si>
    <r>
      <rPr>
        <b/>
        <sz val="11"/>
        <rFont val="Calibri"/>
        <family val="2"/>
        <scheme val="minor"/>
      </rPr>
      <t>Note</t>
    </r>
    <r>
      <rPr>
        <sz val="11"/>
        <rFont val="Calibri"/>
        <family val="2"/>
        <scheme val="minor"/>
      </rPr>
      <t xml:space="preserve">: # Actual tax paid on income from any other regulated or unregulated Business or Other Business shall be excluded for the calculation of effective tax rate </t>
    </r>
  </si>
  <si>
    <r>
      <rPr>
        <b/>
        <sz val="11"/>
        <rFont val="Calibri"/>
        <family val="2"/>
        <scheme val="minor"/>
      </rPr>
      <t>Note</t>
    </r>
    <r>
      <rPr>
        <sz val="11"/>
        <rFont val="Calibri"/>
        <family val="2"/>
        <scheme val="minor"/>
      </rPr>
      <t>: # Equity balance for the fourth Control Period exceeding the difference between the sum of cumulative ROE allowed, efficiency gains /losses, incentives and disincentives &amp; income earned from investment of return on equity, and the cumulative equity investment approved by the Commission in previous years, shall be supported by documentary evidence</t>
    </r>
  </si>
  <si>
    <r>
      <rPr>
        <b/>
        <sz val="11"/>
        <rFont val="Calibri"/>
        <family val="2"/>
        <scheme val="minor"/>
      </rPr>
      <t>Note</t>
    </r>
    <r>
      <rPr>
        <sz val="11"/>
        <rFont val="Calibri"/>
        <family val="2"/>
        <scheme val="minor"/>
      </rPr>
      <t xml:space="preserve">: 1. Capital expenditure incurred based on the specific requirement of Generating Company or Distribution Licensee shall be substantiated with necessary documentary evidence  </t>
    </r>
  </si>
  <si>
    <r>
      <rPr>
        <b/>
        <sz val="11"/>
        <rFont val="Calibri"/>
        <family val="2"/>
        <scheme val="minor"/>
      </rPr>
      <t>Note</t>
    </r>
    <r>
      <rPr>
        <sz val="11"/>
        <rFont val="Calibri"/>
        <family val="2"/>
        <scheme val="minor"/>
      </rPr>
      <t>: 1. Capital expenditure incurred based on the specific requirement of Generating</t>
    </r>
    <r>
      <rPr>
        <sz val="11"/>
        <color rgb="FFFF0000"/>
        <rFont val="Calibri"/>
        <family val="2"/>
        <scheme val="minor"/>
      </rPr>
      <t xml:space="preserve"> </t>
    </r>
    <r>
      <rPr>
        <sz val="11"/>
        <rFont val="Calibri"/>
        <family val="2"/>
        <scheme val="minor"/>
      </rPr>
      <t xml:space="preserve">Company or Distribution Licensee shall be substantiated with necessary documentary evidence  </t>
    </r>
  </si>
  <si>
    <r>
      <rPr>
        <b/>
        <sz val="11"/>
        <rFont val="Calibri"/>
        <family val="2"/>
        <scheme val="minor"/>
      </rPr>
      <t>Note</t>
    </r>
    <r>
      <rPr>
        <sz val="11"/>
        <rFont val="Calibri"/>
        <family val="2"/>
        <scheme val="minor"/>
      </rPr>
      <t>- Network details as on 31 March of respective year shall be considered</t>
    </r>
  </si>
  <si>
    <r>
      <rPr>
        <b/>
        <sz val="11"/>
        <rFont val="Calibri"/>
        <family val="2"/>
        <scheme val="minor"/>
      </rPr>
      <t>Note</t>
    </r>
    <r>
      <rPr>
        <sz val="11"/>
        <rFont val="Calibri"/>
        <family val="2"/>
        <scheme val="minor"/>
      </rPr>
      <t>: Transmission Licensee shall submit detailed justification, cost benefit analysis of opex schemes and savings in O&amp;M expenses, if any</t>
    </r>
  </si>
  <si>
    <r>
      <rPr>
        <b/>
        <sz val="10"/>
        <rFont val="Calibri"/>
        <family val="2"/>
        <scheme val="minor"/>
      </rPr>
      <t>Note</t>
    </r>
    <r>
      <rPr>
        <sz val="10"/>
        <rFont val="Calibri"/>
        <family val="2"/>
        <scheme val="minor"/>
      </rPr>
      <t>: * Applicable only for new Transmission Project for which Provisional/Final tariff approval is being sought</t>
    </r>
  </si>
  <si>
    <t>True Up Orders</t>
  </si>
  <si>
    <t>FY 2010-11</t>
  </si>
  <si>
    <t>FY 2011-12</t>
  </si>
  <si>
    <t>FY 2012-13</t>
  </si>
  <si>
    <t>FY 2013-14</t>
  </si>
  <si>
    <t>FY 2014-15</t>
  </si>
  <si>
    <t>FY 2015-16</t>
  </si>
  <si>
    <t>addition</t>
  </si>
  <si>
    <t>FY 2016-17</t>
  </si>
  <si>
    <t xml:space="preserve">Form 7:  Base Return on Regulatory Equity </t>
  </si>
  <si>
    <t>Cont. Res</t>
  </si>
  <si>
    <t>Add: Incentive</t>
  </si>
  <si>
    <t xml:space="preserve">Add: Incentive on Transmission Availability </t>
  </si>
  <si>
    <t xml:space="preserve">Total Aggregate Revenue Requirement from Transmission </t>
  </si>
  <si>
    <t>Add: Gap/ (Surplus) for FY 2010-11 to FY 2014-15</t>
  </si>
  <si>
    <t>Add: Gap/ (Surplus) for FY 2015-16 &amp; FY 2016-17</t>
  </si>
  <si>
    <t>Add: Gap/ (Surplus) for FY 2017-18</t>
  </si>
  <si>
    <t>Carrying Cost/ (Holding Cost) of above Revenue Gap/ (Surplus)</t>
  </si>
  <si>
    <t>Net Aggregate Revenue Requirement from Transmission Tariff</t>
  </si>
  <si>
    <t>Total Annual Revenue Requirement including past Revenue Gap/ (Surplus)</t>
  </si>
  <si>
    <t xml:space="preserve">Jaigad – New Koyna Transmission Line </t>
  </si>
  <si>
    <t xml:space="preserve">Jaigad – Karad Transmission Line </t>
  </si>
  <si>
    <t>Mis Others</t>
  </si>
  <si>
    <t>Supplementary Allowance</t>
  </si>
  <si>
    <t>Staff Insurance</t>
  </si>
  <si>
    <t>Loss on Admin assets written Off</t>
  </si>
  <si>
    <t>Cost of services procured/Shared Service Expenses</t>
  </si>
  <si>
    <t>Miscellaneous Expenses/Festival Expenses</t>
  </si>
  <si>
    <t>Office Expenses/Board Meeting Expenses</t>
  </si>
  <si>
    <t>Deployment Work, replacement &amp; dehoisting work, Breakdown work, jumper spacer replacement, Battery bank, Retrofitting Relay work</t>
  </si>
  <si>
    <t>Insulator washing, insulator replacement, and other work.</t>
  </si>
  <si>
    <t>Terminal Bay Expenses</t>
  </si>
  <si>
    <t>Plant &amp; Machinery - Repair Expenses</t>
  </si>
  <si>
    <t>April-March      (Audited)</t>
  </si>
  <si>
    <t xml:space="preserve">Refinancing Charges </t>
  </si>
  <si>
    <t>Amount in Rs</t>
  </si>
  <si>
    <t>FY 17-18</t>
  </si>
  <si>
    <t>FY 18-19</t>
  </si>
  <si>
    <t>Consultancy Charges</t>
  </si>
  <si>
    <t>Rating Fees</t>
  </si>
  <si>
    <t>Trusteeship Fees</t>
  </si>
  <si>
    <t>LLC Fees</t>
  </si>
  <si>
    <t>Processing Fees - ABFL</t>
  </si>
  <si>
    <t>Stamp duty</t>
  </si>
  <si>
    <t>Total Fees</t>
  </si>
  <si>
    <t>Approved Weighted average Rate of Interest on actual Loans (%)</t>
  </si>
  <si>
    <t xml:space="preserve">Interest Expenses as per approved rate </t>
  </si>
  <si>
    <t xml:space="preserve">Actual Weighted average Rate of Interest on actual Loans (%) - due to refinancing </t>
  </si>
  <si>
    <t>Interest Expenses as per Refinanced Rate</t>
  </si>
  <si>
    <t>Saving in interest</t>
  </si>
  <si>
    <t>NPV-Saving @ 9.25% discount factor</t>
  </si>
  <si>
    <t>Refinancing Cost</t>
  </si>
  <si>
    <t>Net Saving</t>
  </si>
  <si>
    <t>Sharing % of Interest Rate</t>
  </si>
  <si>
    <t>Sharing Amount in Rs Crs</t>
  </si>
  <si>
    <t xml:space="preserve">Particulars </t>
  </si>
  <si>
    <t>Normative</t>
  </si>
  <si>
    <t>Entitlement as
per Regulations/
Order</t>
  </si>
  <si>
    <t>Variation</t>
  </si>
  <si>
    <t>1/3rd of efficiency gain and 2/3rd of Efficiency loss retained by JPTL</t>
  </si>
  <si>
    <t>Net entitlement after sharing of gains /losses</t>
  </si>
  <si>
    <t>O &amp; M Expense</t>
  </si>
  <si>
    <t>Interest on working capital</t>
  </si>
  <si>
    <t xml:space="preserve">Total </t>
  </si>
  <si>
    <t>MYT
Order</t>
  </si>
  <si>
    <t>Revision in Base Rate by RBI</t>
  </si>
  <si>
    <t>Revision in Base Rate as per amendment</t>
  </si>
  <si>
    <t>Closing Rate</t>
  </si>
  <si>
    <t>Weighted Average Rate</t>
  </si>
  <si>
    <t>Plus 150 Basis Point</t>
  </si>
  <si>
    <t>Total Weighted Average Rate</t>
  </si>
  <si>
    <t>Date</t>
  </si>
  <si>
    <t>No. of Days</t>
  </si>
  <si>
    <t>%</t>
  </si>
  <si>
    <t>https://www.sbi.co.in/portal/web/interest-rates/mclr-historical-data</t>
  </si>
  <si>
    <t>Calculation of Interest</t>
  </si>
  <si>
    <t>Purchase Date</t>
  </si>
  <si>
    <t>Face Value</t>
  </si>
  <si>
    <t>Purchase Amt</t>
  </si>
  <si>
    <t>Int Rate</t>
  </si>
  <si>
    <t>FY 10-11 to FY 2012-13</t>
  </si>
  <si>
    <t>Income Tax payable after reduction of efficiency gains, Income from Other Business and Incentive (Rs. Crore)</t>
  </si>
  <si>
    <t>Particular</t>
  </si>
  <si>
    <t>(excluding gains &amp; incentive)</t>
  </si>
  <si>
    <t>Less:</t>
  </si>
  <si>
    <t>Income from other business</t>
  </si>
  <si>
    <t>Gain/(loss)</t>
  </si>
  <si>
    <t>Incentive</t>
  </si>
  <si>
    <t>Tax payable on book profit</t>
  </si>
  <si>
    <t>Interest on tax</t>
  </si>
  <si>
    <t>Net Tax</t>
  </si>
  <si>
    <t>Income Tax Rate</t>
  </si>
  <si>
    <t>Annual Transmission Charges (Rs. Crore)</t>
  </si>
  <si>
    <t>Target Availability (%)</t>
  </si>
  <si>
    <t>Actual Availability Achieved (%)</t>
  </si>
  <si>
    <t>Upper Cap for Incentive Availability</t>
  </si>
  <si>
    <t>Incentive (Rs. Crore)</t>
  </si>
  <si>
    <t>FY2017-18</t>
  </si>
  <si>
    <t>Sharing of interest with consumers as per clause 29.10 of MYT Regulations, 2015</t>
  </si>
  <si>
    <t>Add: Net Entitlement after sharing of gains/(losses) of O&amp;M / IoWC</t>
  </si>
  <si>
    <t>Add: Net Entitlement after sharing of gains/(losses) of refinancing of loan</t>
  </si>
  <si>
    <t>Loan 1 - SBI</t>
  </si>
  <si>
    <t>Loan 2 - PNB</t>
  </si>
  <si>
    <t>Loan 3 - IOB</t>
  </si>
  <si>
    <t>Loan 1 - ABFL</t>
  </si>
  <si>
    <t>Norms</t>
  </si>
  <si>
    <t>Statement of Income Tax Paid</t>
  </si>
  <si>
    <t>1st Advance Tax - 15/6</t>
  </si>
  <si>
    <t>2nd Advance Tax - 14/9</t>
  </si>
  <si>
    <t>3rd Advance Tax - 14/12</t>
  </si>
  <si>
    <t>4th Advance Tax - 14/03</t>
  </si>
  <si>
    <t>S.A. Tax</t>
  </si>
  <si>
    <t>TDS</t>
  </si>
  <si>
    <t xml:space="preserve">Less: Interest </t>
  </si>
  <si>
    <t>Add: Recovery of additional income tax of AY 2016-17</t>
  </si>
  <si>
    <t xml:space="preserve">Revenue Reconciliation </t>
  </si>
  <si>
    <t>As per Case no. 12 of 2016 - dated 27th June 2016</t>
  </si>
  <si>
    <t>As per Case no. 167 of 2017 - dated 12th September 2018</t>
  </si>
  <si>
    <t>Revenue recovered for the year</t>
  </si>
  <si>
    <t>Add: Impact of DPC Earlier Considered as NTI FY 15-16 ( Case No. 167 of 2017) _ APTEL Order 250 OF 2016 &amp; IA NO. 899 OF 2017</t>
  </si>
  <si>
    <t>Calcualtion of Impact of DPC Disallowed earlier</t>
  </si>
  <si>
    <t xml:space="preserve">DPC considered as Non-Tariff Income </t>
  </si>
  <si>
    <t>Tax on DPC</t>
  </si>
  <si>
    <t>DPC</t>
  </si>
  <si>
    <t>Calculation of Revised Income Tax</t>
  </si>
  <si>
    <t>Calculation of Incentive</t>
  </si>
  <si>
    <t>Rs. Crore</t>
  </si>
  <si>
    <t xml:space="preserve">Annual Transmission Charges </t>
  </si>
  <si>
    <t>Target Availability</t>
  </si>
  <si>
    <t xml:space="preserve">Actual Availability Achieved </t>
  </si>
  <si>
    <t>Additional incentive</t>
  </si>
  <si>
    <t>Additional Impact of DPC disallowed</t>
  </si>
  <si>
    <t>Total Impact</t>
  </si>
  <si>
    <t>Total ARR</t>
  </si>
  <si>
    <t xml:space="preserve">Revenue </t>
  </si>
  <si>
    <t>Gap</t>
  </si>
  <si>
    <t>Wtg. Average rate of Interest</t>
  </si>
  <si>
    <t>Carrying / (Holding) Cost</t>
  </si>
  <si>
    <t>Opening Balance</t>
  </si>
  <si>
    <t>Recovery during the year</t>
  </si>
  <si>
    <t>Closing Balance</t>
  </si>
  <si>
    <t>Average Balance</t>
  </si>
  <si>
    <t>Add: Gap/ (Surplus) for True-up for FY 2017-18</t>
  </si>
  <si>
    <t>Add: Gap/ (Surplus) for True-up for FY 2018-19</t>
  </si>
  <si>
    <t>Carrying Cost/ (Holding Cost) for FY 2017-18 to FY 2019-20</t>
  </si>
  <si>
    <t>Total Finance Charges</t>
  </si>
  <si>
    <t>Total Refinance and Finance Charges</t>
  </si>
  <si>
    <t>Details of Loan - True Up Orders Post reconciliation</t>
  </si>
  <si>
    <t xml:space="preserve">Components of Fixed assets </t>
  </si>
  <si>
    <t xml:space="preserve">Calculation of GFA </t>
  </si>
  <si>
    <t>Original Depreciation allowed</t>
  </si>
  <si>
    <t>Details of Loan - True Up Orders Pre reconciliation</t>
  </si>
  <si>
    <t>Capitalisation As per MERC Order</t>
  </si>
  <si>
    <t>Closing GFA</t>
  </si>
  <si>
    <t>closing Accumulated Depreciation</t>
  </si>
  <si>
    <t>Retirement of Assets</t>
  </si>
  <si>
    <t>Outstanding loans towards reduction of assets</t>
  </si>
  <si>
    <t>Depreciation Rate for 12 years</t>
  </si>
  <si>
    <t>Depreciation Rate post 12 years</t>
  </si>
  <si>
    <t>Useful Life</t>
  </si>
  <si>
    <t>Balance Life</t>
  </si>
  <si>
    <t>Cl. Balance</t>
  </si>
  <si>
    <t xml:space="preserve">Equity reduction due to reduction of assets </t>
  </si>
  <si>
    <t>Depreciation allowed</t>
  </si>
  <si>
    <t xml:space="preserve">Depreciation allowed on retired assets adjusted </t>
  </si>
  <si>
    <t>Less: Rebate</t>
  </si>
  <si>
    <t>Add: Addition of DPC Considered as NTI for FY 15-16 ( Case No. 167 of 2017) _ APTEL Order 250 OF 2016 &amp; IA NO. 899 OF 2017</t>
  </si>
  <si>
    <t>Calculation of Equity</t>
  </si>
  <si>
    <t>De-capitalisation of assets of Rs. 5.07 crs in FY 2017-18</t>
  </si>
  <si>
    <t>De-capitalisation of assets of Rs. 5.07 crs as per MERC Order and effect on GFA, Depreciation, Interest on Loan and RoE</t>
  </si>
  <si>
    <t xml:space="preserve">Capitalisation </t>
  </si>
  <si>
    <t>Calculation of GFA</t>
  </si>
  <si>
    <t>repayment</t>
  </si>
  <si>
    <t>Cont.  Reserve As per Final ARR</t>
  </si>
  <si>
    <t>Total Interest on Cont. Reserve Investment</t>
  </si>
  <si>
    <t>Net Aggregate Revenue Requirement from Transmission Business</t>
  </si>
  <si>
    <t>$- Applicable O&amp;M Cost norms for Transmission Lines and Bays shall be considered as specified in MERC MYT Regulations, 2015 for FY 2017-18, FY 2018-19 &amp; FY 2019-20, and as specified in MERC MYT Regulations, 2019 for the fourth Control Period</t>
  </si>
  <si>
    <t>Technician &amp; Engineers for Transmission line O&amp;M &amp; Patrolling Work</t>
  </si>
  <si>
    <t>$$ Pre tax Return on Equity to be considered as computed in Form 10 based on effective tax rate</t>
  </si>
  <si>
    <t xml:space="preserve">* In case audited accounts for FY 2018-19 is not available, the latest available audited accounts may be considered </t>
  </si>
  <si>
    <t>Depreciation as on 1st april</t>
  </si>
  <si>
    <t>Debt repayment against write-off Assets</t>
  </si>
  <si>
    <t>Financial Fees-sbi cap trusteeship</t>
  </si>
  <si>
    <t>Details of Interest on Working Capital for FY 2017-18 &amp; FY 2018-19</t>
  </si>
  <si>
    <t>Opening SBI Base Rate / MCLR Rare</t>
  </si>
  <si>
    <t>Add: Gap/ (Surplus) for ARR for FY 2019-20</t>
  </si>
  <si>
    <t>Addition during the year (Excl. Incentive)*</t>
  </si>
  <si>
    <t>* - ARR of FY 2017-18 considered wihtout DPC</t>
  </si>
  <si>
    <t>Effective carrying/ (holding) cost for Period from FY 2015-16 to FY 2019-20</t>
  </si>
  <si>
    <t>Deletion</t>
  </si>
  <si>
    <t>As per Accounts</t>
  </si>
  <si>
    <t>Truing up Adjustment Order</t>
  </si>
  <si>
    <t>Truing up Adjustment Terminal Bay Written off</t>
  </si>
  <si>
    <t>Asset as per Order</t>
  </si>
  <si>
    <t>Asset As per Asset Register</t>
  </si>
  <si>
    <t>SBI</t>
  </si>
  <si>
    <t>PNB</t>
  </si>
  <si>
    <t>IOB</t>
  </si>
  <si>
    <t>ABFL</t>
  </si>
  <si>
    <t>30.06.2017</t>
  </si>
  <si>
    <t>30.09.2017</t>
  </si>
  <si>
    <t>31.12.2017</t>
  </si>
  <si>
    <t>31.03.2018</t>
  </si>
  <si>
    <t>Total Loan Instalment</t>
  </si>
  <si>
    <t>Total Loan Principal Payment</t>
  </si>
  <si>
    <t>NOT APPLICABLE</t>
  </si>
  <si>
    <t>Capitalisation (Rs. Crore)</t>
  </si>
  <si>
    <t>Capital Expenditure - (Rs. Crore)</t>
  </si>
  <si>
    <t>Other</t>
  </si>
  <si>
    <t>………………..</t>
  </si>
  <si>
    <t xml:space="preserve">Additional R&amp;M expenses for Overhauling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</si>
</sst>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_(* \(#,##0.00\);_(* &quot;-&quot;??_);_(@_)"/>
    <numFmt numFmtId="164" formatCode="_ * #,##0.00_ ;_ * \-#,##0.00_ ;_ * &quot;-&quot;??_ ;_ @_ "/>
    <numFmt numFmtId="165" formatCode="_-* #,##0.00_-;\-* #,##0.00_-;_-* &quot;-&quot;??_-;_-@_-"/>
    <numFmt numFmtId="166" formatCode="0.00_)"/>
    <numFmt numFmtId="167" formatCode="&quot;ß&quot;#,##0.00_);\(&quot;ß&quot;#,##0.00\)"/>
    <numFmt numFmtId="168" formatCode="[$-409]d\-mmm\-yy;@"/>
    <numFmt numFmtId="169" formatCode="0.0"/>
    <numFmt numFmtId="170" formatCode="0.00000"/>
    <numFmt numFmtId="171" formatCode="0.0000"/>
    <numFmt numFmtId="172" formatCode="0.000000000000000%"/>
    <numFmt numFmtId="173" formatCode="0.000"/>
    <numFmt numFmtId="174" formatCode="_(* #,##0_);_(* \(#,##0\);_(* &quot;-&quot;??_);_(@_)"/>
    <numFmt numFmtId="175" formatCode="_-* #,##0_-;\-* #,##0_-;_-* &quot;-&quot;??_-;_-@_-"/>
    <numFmt numFmtId="176" formatCode="_ * #,##0_ ;_ * \-#,##0_ ;_ * &quot;-&quot;??_ ;_ @_ "/>
    <numFmt numFmtId="177" formatCode="&quot;₹&quot;\ #,##0.00;[Red]&quot;₹&quot;\ \-#,##0.00"/>
    <numFmt numFmtId="178" formatCode="_ * #,##0.0_ ;_ * \-#,##0.0_ ;_ * &quot;-&quot;??_ ;_ @_ "/>
    <numFmt numFmtId="179" formatCode="_ * #,##0.000_ ;_ * \-#,##0.000_ ;_ * &quot;-&quot;??_ ;_ @_ "/>
    <numFmt numFmtId="180" formatCode="_ * #,##0.0000_ ;_ * \-#,##0.0000_ ;_ * &quot;-&quot;??_ ;_ @_ "/>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12"/>
      <name val="Arial"/>
      <family val="2"/>
    </font>
    <font>
      <sz val="10"/>
      <name val="Arial"/>
      <family val="2"/>
    </font>
    <font>
      <sz val="10"/>
      <name val="Arial"/>
      <family val="2"/>
    </font>
    <font>
      <sz val="12"/>
      <name val="Tms Rmn"/>
    </font>
    <font>
      <sz val="10"/>
      <name val="Helv"/>
    </font>
    <font>
      <sz val="8"/>
      <name val="Arial"/>
      <family val="2"/>
    </font>
    <font>
      <b/>
      <sz val="12"/>
      <name val="Arial"/>
      <family val="2"/>
    </font>
    <font>
      <sz val="7"/>
      <name val="Small Fonts"/>
      <family val="2"/>
    </font>
    <font>
      <b/>
      <i/>
      <sz val="16"/>
      <name val="Helv"/>
    </font>
    <font>
      <sz val="11"/>
      <color theme="1"/>
      <name val="Calibri"/>
      <family val="2"/>
      <scheme val="minor"/>
    </font>
    <font>
      <sz val="11"/>
      <color indexed="8"/>
      <name val="Calibri"/>
      <family val="2"/>
    </font>
    <font>
      <sz val="11"/>
      <color theme="1"/>
      <name val="Calibri"/>
      <family val="2"/>
    </font>
    <font>
      <sz val="10"/>
      <name val="Arial"/>
      <family val="2"/>
    </font>
    <font>
      <sz val="10"/>
      <name val="Arial"/>
      <family val="2"/>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vertAlign val="superscript"/>
      <sz val="1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1"/>
      <color indexed="9"/>
      <name val="Calibri"/>
      <family val="2"/>
      <scheme val="minor"/>
    </font>
    <font>
      <sz val="11"/>
      <color indexed="10"/>
      <name val="Calibri"/>
      <family val="2"/>
      <scheme val="minor"/>
    </font>
    <font>
      <b/>
      <sz val="11"/>
      <color indexed="9"/>
      <name val="Calibri"/>
      <family val="2"/>
      <scheme val="minor"/>
    </font>
    <font>
      <b/>
      <sz val="11"/>
      <color rgb="FFFF0000"/>
      <name val="Calibri"/>
      <family val="2"/>
      <scheme val="minor"/>
    </font>
    <font>
      <sz val="11"/>
      <color indexed="40"/>
      <name val="Calibri"/>
      <family val="2"/>
      <scheme val="minor"/>
    </font>
    <font>
      <b/>
      <u/>
      <sz val="11"/>
      <name val="Calibri"/>
      <family val="2"/>
      <scheme val="minor"/>
    </font>
    <font>
      <b/>
      <sz val="10"/>
      <name val="Calibri"/>
      <family val="2"/>
      <scheme val="minor"/>
    </font>
    <font>
      <b/>
      <sz val="12"/>
      <name val="Calibri"/>
      <family val="2"/>
      <scheme val="minor"/>
    </font>
    <font>
      <u/>
      <sz val="11"/>
      <name val="Calibri"/>
      <family val="2"/>
      <scheme val="minor"/>
    </font>
    <font>
      <sz val="11"/>
      <color indexed="13"/>
      <name val="Calibri"/>
      <family val="2"/>
      <scheme val="minor"/>
    </font>
    <font>
      <sz val="11"/>
      <color indexed="50"/>
      <name val="Calibri"/>
      <family val="2"/>
      <scheme val="minor"/>
    </font>
    <font>
      <sz val="12"/>
      <name val="Calibri"/>
      <family val="2"/>
      <scheme val="minor"/>
    </font>
    <font>
      <sz val="11"/>
      <name val="Times New Roman"/>
      <family val="1"/>
    </font>
    <font>
      <b/>
      <sz val="11"/>
      <name val="Times New Roman"/>
      <family val="1"/>
    </font>
    <font>
      <u/>
      <sz val="10"/>
      <color theme="10"/>
      <name val="Arial"/>
      <family val="2"/>
    </font>
    <font>
      <sz val="9"/>
      <color indexed="81"/>
      <name val="Tahoma"/>
      <family val="2"/>
    </font>
    <font>
      <b/>
      <sz val="9"/>
      <color indexed="81"/>
      <name val="Tahoma"/>
      <family val="2"/>
    </font>
    <font>
      <sz val="11"/>
      <color theme="1"/>
      <name val="Times New Roman"/>
      <family val="1"/>
    </font>
    <font>
      <b/>
      <sz val="70"/>
      <name val="Calibri"/>
      <family val="2"/>
      <scheme val="minor"/>
    </font>
    <font>
      <b/>
      <sz val="70"/>
      <name val="Arial"/>
      <family val="2"/>
    </font>
    <font>
      <sz val="75"/>
      <name val="Calibri"/>
      <family val="2"/>
      <scheme val="minor"/>
    </font>
    <font>
      <b/>
      <sz val="85"/>
      <name val="Calibri"/>
      <family val="2"/>
      <scheme val="minor"/>
    </font>
    <font>
      <b/>
      <sz val="9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s>
  <borders count="34">
    <border>
      <left/>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0">
    <xf numFmtId="0" fontId="0" fillId="0" borderId="0"/>
    <xf numFmtId="0" fontId="14" fillId="0" borderId="0" applyNumberFormat="0" applyFill="0" applyBorder="0" applyAlignment="0" applyProtection="0"/>
    <xf numFmtId="0" fontId="15" fillId="0" borderId="1"/>
    <xf numFmtId="0" fontId="15" fillId="0" borderId="1"/>
    <xf numFmtId="38" fontId="16" fillId="2" borderId="0" applyNumberFormat="0" applyBorder="0" applyAlignment="0" applyProtection="0"/>
    <xf numFmtId="0" fontId="17" fillId="0" borderId="2" applyNumberFormat="0" applyAlignment="0" applyProtection="0">
      <alignment horizontal="left" vertical="center"/>
    </xf>
    <xf numFmtId="0" fontId="17" fillId="0" borderId="3">
      <alignment horizontal="left" vertical="center"/>
    </xf>
    <xf numFmtId="10" fontId="16" fillId="3" borderId="4" applyNumberFormat="0" applyBorder="0" applyAlignment="0" applyProtection="0"/>
    <xf numFmtId="37" fontId="18" fillId="0" borderId="0"/>
    <xf numFmtId="166" fontId="19" fillId="0" borderId="0"/>
    <xf numFmtId="0" fontId="12" fillId="0" borderId="0"/>
    <xf numFmtId="0" fontId="12" fillId="0" borderId="0"/>
    <xf numFmtId="0" fontId="10" fillId="0" borderId="0"/>
    <xf numFmtId="0" fontId="10" fillId="0" borderId="0"/>
    <xf numFmtId="0" fontId="9" fillId="0" borderId="0">
      <alignment vertical="center"/>
    </xf>
    <xf numFmtId="0" fontId="12" fillId="0" borderId="0">
      <alignment vertical="center"/>
    </xf>
    <xf numFmtId="0" fontId="13" fillId="0" borderId="0">
      <alignment vertical="center"/>
    </xf>
    <xf numFmtId="0" fontId="12" fillId="0" borderId="0">
      <alignment vertical="center"/>
    </xf>
    <xf numFmtId="167" fontId="12" fillId="0" borderId="0" applyFont="0" applyFill="0" applyBorder="0" applyAlignment="0" applyProtection="0"/>
    <xf numFmtId="10" fontId="12" fillId="0" borderId="0" applyFont="0" applyFill="0" applyBorder="0" applyAlignment="0" applyProtection="0"/>
    <xf numFmtId="0" fontId="12" fillId="0" borderId="0"/>
    <xf numFmtId="0" fontId="9" fillId="0" borderId="0" applyBorder="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9" fillId="0" borderId="0"/>
    <xf numFmtId="0" fontId="9" fillId="0" borderId="0"/>
    <xf numFmtId="0" fontId="9" fillId="0" borderId="0">
      <alignment vertical="center"/>
    </xf>
    <xf numFmtId="167" fontId="9" fillId="0" borderId="0" applyFont="0" applyFill="0" applyBorder="0" applyAlignment="0" applyProtection="0"/>
    <xf numFmtId="0" fontId="11" fillId="0" borderId="0"/>
    <xf numFmtId="9" fontId="9" fillId="0" borderId="0" applyFont="0" applyFill="0" applyBorder="0" applyAlignment="0" applyProtection="0"/>
    <xf numFmtId="0" fontId="9" fillId="0" borderId="0"/>
    <xf numFmtId="167" fontId="9"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0" fontId="9" fillId="0" borderId="0"/>
    <xf numFmtId="0" fontId="9" fillId="0" borderId="0"/>
    <xf numFmtId="0" fontId="9" fillId="0" borderId="0"/>
    <xf numFmtId="0" fontId="22" fillId="0" borderId="0"/>
    <xf numFmtId="0" fontId="8" fillId="0" borderId="0"/>
    <xf numFmtId="0" fontId="21" fillId="0" borderId="0"/>
    <xf numFmtId="0" fontId="21" fillId="0" borderId="0"/>
    <xf numFmtId="0" fontId="8" fillId="0" borderId="0"/>
    <xf numFmtId="0" fontId="9" fillId="0" borderId="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10" fillId="0" borderId="0"/>
    <xf numFmtId="0" fontId="9" fillId="0" borderId="0"/>
    <xf numFmtId="0" fontId="9" fillId="0" borderId="0"/>
    <xf numFmtId="167" fontId="21" fillId="0" borderId="0" applyFont="0" applyFill="0" applyBorder="0" applyAlignment="0" applyProtection="0"/>
    <xf numFmtId="0" fontId="9" fillId="0" borderId="0"/>
    <xf numFmtId="9" fontId="9" fillId="0" borderId="0" applyFont="0" applyFill="0" applyBorder="0" applyAlignment="0" applyProtection="0"/>
    <xf numFmtId="0" fontId="7" fillId="0" borderId="0"/>
    <xf numFmtId="43" fontId="7" fillId="0" borderId="0" applyFont="0" applyFill="0" applyBorder="0" applyAlignment="0" applyProtection="0"/>
    <xf numFmtId="165" fontId="9"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9" fontId="23" fillId="0" borderId="0" applyFont="0" applyFill="0" applyBorder="0" applyAlignment="0" applyProtection="0"/>
    <xf numFmtId="164" fontId="24"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0" fontId="9" fillId="0" borderId="0"/>
    <xf numFmtId="0" fontId="50"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10" fontId="9" fillId="0" borderId="0" applyFont="0" applyFill="0" applyBorder="0" applyAlignment="0" applyProtection="0"/>
    <xf numFmtId="0" fontId="9"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9"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9" fillId="0" borderId="0" applyFont="0" applyFill="0" applyBorder="0" applyAlignment="0" applyProtection="0"/>
    <xf numFmtId="164" fontId="21" fillId="0" borderId="0" applyFont="0" applyFill="0" applyBorder="0" applyAlignment="0" applyProtection="0"/>
    <xf numFmtId="0" fontId="3" fillId="0" borderId="0"/>
    <xf numFmtId="0" fontId="3" fillId="0" borderId="0"/>
    <xf numFmtId="0" fontId="9"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cellStyleXfs>
  <cellXfs count="1264">
    <xf numFmtId="0" fontId="0" fillId="0" borderId="0" xfId="0"/>
    <xf numFmtId="0" fontId="27" fillId="0" borderId="4" xfId="40" quotePrefix="1" applyFont="1" applyBorder="1" applyAlignment="1">
      <alignment horizontal="center" vertical="top" wrapText="1"/>
    </xf>
    <xf numFmtId="174" fontId="27" fillId="0" borderId="4" xfId="37" applyNumberFormat="1" applyFont="1" applyFill="1" applyBorder="1" applyAlignment="1">
      <alignment horizontal="left"/>
    </xf>
    <xf numFmtId="0" fontId="27" fillId="0" borderId="4" xfId="40" applyFont="1" applyBorder="1" applyAlignment="1">
      <alignment horizontal="center" vertical="top"/>
    </xf>
    <xf numFmtId="174" fontId="27" fillId="0" borderId="4" xfId="37" applyNumberFormat="1" applyFont="1" applyFill="1" applyBorder="1"/>
    <xf numFmtId="0" fontId="27" fillId="0" borderId="0" xfId="0" applyFont="1" applyBorder="1"/>
    <xf numFmtId="0" fontId="28" fillId="0" borderId="0" xfId="0" applyFont="1" applyBorder="1" applyAlignment="1">
      <alignment horizontal="left"/>
    </xf>
    <xf numFmtId="0" fontId="28" fillId="0" borderId="0" xfId="0" applyFont="1" applyBorder="1" applyAlignment="1">
      <alignment horizontal="centerContinuous"/>
    </xf>
    <xf numFmtId="0" fontId="28" fillId="0" borderId="0" xfId="0" applyFont="1" applyBorder="1"/>
    <xf numFmtId="0" fontId="27" fillId="0" borderId="0" xfId="10" applyFont="1" applyBorder="1"/>
    <xf numFmtId="0" fontId="28" fillId="0" borderId="0" xfId="10" applyFont="1" applyBorder="1" applyAlignment="1">
      <alignment horizontal="left"/>
    </xf>
    <xf numFmtId="0" fontId="28" fillId="0" borderId="0" xfId="10" applyFont="1" applyBorder="1"/>
    <xf numFmtId="0" fontId="29" fillId="0" borderId="0" xfId="10" applyFont="1" applyBorder="1" applyAlignment="1">
      <alignment horizontal="left"/>
    </xf>
    <xf numFmtId="0" fontId="28" fillId="0" borderId="0" xfId="10" applyFont="1" applyBorder="1" applyAlignment="1">
      <alignment horizontal="centerContinuous"/>
    </xf>
    <xf numFmtId="0" fontId="28" fillId="0" borderId="0" xfId="10" applyFont="1" applyBorder="1" applyAlignment="1">
      <alignment horizontal="right"/>
    </xf>
    <xf numFmtId="0" fontId="27" fillId="0" borderId="0" xfId="0" applyFont="1" applyBorder="1" applyAlignment="1"/>
    <xf numFmtId="0" fontId="27" fillId="0" borderId="0" xfId="10" applyFont="1" applyBorder="1" applyAlignment="1"/>
    <xf numFmtId="0" fontId="28" fillId="4" borderId="4" xfId="10" applyFont="1" applyFill="1" applyBorder="1" applyAlignment="1">
      <alignment horizontal="center" vertical="center" wrapText="1"/>
    </xf>
    <xf numFmtId="0" fontId="27" fillId="0" borderId="0" xfId="0" applyFont="1" applyBorder="1" applyAlignment="1">
      <alignment vertical="top"/>
    </xf>
    <xf numFmtId="0" fontId="27" fillId="0" borderId="0" xfId="10" applyFont="1" applyBorder="1" applyAlignment="1">
      <alignment vertical="top"/>
    </xf>
    <xf numFmtId="0" fontId="27" fillId="0" borderId="4" xfId="10" applyFont="1" applyFill="1" applyBorder="1" applyAlignment="1">
      <alignment horizontal="left" vertical="top"/>
    </xf>
    <xf numFmtId="0" fontId="27" fillId="8" borderId="4" xfId="10" applyFont="1" applyFill="1" applyBorder="1" applyAlignment="1">
      <alignment horizontal="left" vertical="top"/>
    </xf>
    <xf numFmtId="0" fontId="27" fillId="0" borderId="4" xfId="10" applyFont="1" applyBorder="1"/>
    <xf numFmtId="164" fontId="27" fillId="0" borderId="4" xfId="73" applyFont="1" applyFill="1" applyBorder="1" applyAlignment="1">
      <alignment horizontal="center" vertical="top"/>
    </xf>
    <xf numFmtId="0" fontId="27" fillId="8" borderId="4" xfId="10" applyFont="1" applyFill="1" applyBorder="1" applyAlignment="1">
      <alignment horizontal="left" vertical="top" wrapText="1"/>
    </xf>
    <xf numFmtId="0" fontId="27" fillId="0" borderId="0" xfId="0" applyFont="1"/>
    <xf numFmtId="0" fontId="27" fillId="0" borderId="0" xfId="10" applyFont="1"/>
    <xf numFmtId="0" fontId="27" fillId="0" borderId="4" xfId="10" applyFont="1" applyBorder="1" applyAlignment="1">
      <alignment vertical="top"/>
    </xf>
    <xf numFmtId="0" fontId="30" fillId="0" borderId="4" xfId="10" applyFont="1" applyFill="1" applyBorder="1"/>
    <xf numFmtId="0" fontId="31" fillId="0" borderId="4" xfId="10" applyFont="1" applyBorder="1" applyAlignment="1">
      <alignment horizontal="left"/>
    </xf>
    <xf numFmtId="0" fontId="28" fillId="0" borderId="4" xfId="10" applyFont="1" applyBorder="1" applyAlignment="1">
      <alignment horizontal="left" vertical="top"/>
    </xf>
    <xf numFmtId="164" fontId="28" fillId="0" borderId="4" xfId="73" applyFont="1" applyBorder="1" applyAlignment="1">
      <alignment horizontal="center" vertical="top"/>
    </xf>
    <xf numFmtId="0" fontId="28" fillId="4" borderId="4" xfId="40" applyFont="1" applyFill="1" applyBorder="1" applyAlignment="1">
      <alignment horizontal="center" vertical="center" wrapText="1"/>
    </xf>
    <xf numFmtId="0" fontId="31" fillId="0" borderId="0" xfId="0" applyFont="1" applyBorder="1" applyAlignment="1">
      <alignment horizontal="left"/>
    </xf>
    <xf numFmtId="0" fontId="31" fillId="0" borderId="0" xfId="10" applyFont="1" applyBorder="1" applyAlignment="1">
      <alignment horizontal="left"/>
    </xf>
    <xf numFmtId="0" fontId="31" fillId="0" borderId="0" xfId="10" applyFont="1" applyFill="1" applyBorder="1" applyAlignment="1">
      <alignment horizontal="left"/>
    </xf>
    <xf numFmtId="0" fontId="28" fillId="4" borderId="4" xfId="40" quotePrefix="1" applyFont="1" applyFill="1" applyBorder="1" applyAlignment="1">
      <alignment horizontal="center" vertical="center" wrapText="1"/>
    </xf>
    <xf numFmtId="164" fontId="27" fillId="0" borderId="4" xfId="10" applyNumberFormat="1" applyFont="1" applyFill="1" applyBorder="1" applyAlignment="1">
      <alignment horizontal="left" vertical="top"/>
    </xf>
    <xf numFmtId="164" fontId="28" fillId="0" borderId="4" xfId="73" applyFont="1" applyBorder="1" applyAlignment="1">
      <alignment horizontal="left" vertical="top"/>
    </xf>
    <xf numFmtId="0" fontId="28" fillId="0" borderId="0" xfId="10" applyFont="1" applyBorder="1" applyAlignment="1">
      <alignment horizontal="left" vertical="top"/>
    </xf>
    <xf numFmtId="0" fontId="30" fillId="0" borderId="0" xfId="10" applyFont="1" applyFill="1" applyBorder="1"/>
    <xf numFmtId="164" fontId="27" fillId="0" borderId="4" xfId="73" applyFont="1" applyFill="1" applyBorder="1" applyAlignment="1">
      <alignment horizontal="left" vertical="top"/>
    </xf>
    <xf numFmtId="164" fontId="28" fillId="0" borderId="4" xfId="10" applyNumberFormat="1" applyFont="1" applyBorder="1" applyAlignment="1">
      <alignment horizontal="left" vertical="top"/>
    </xf>
    <xf numFmtId="175" fontId="33" fillId="8" borderId="4" xfId="69" applyNumberFormat="1" applyFont="1" applyFill="1" applyBorder="1"/>
    <xf numFmtId="175" fontId="33" fillId="15" borderId="4" xfId="69" applyNumberFormat="1" applyFont="1" applyFill="1" applyBorder="1"/>
    <xf numFmtId="175" fontId="33" fillId="11" borderId="4" xfId="69" applyNumberFormat="1" applyFont="1" applyFill="1" applyBorder="1"/>
    <xf numFmtId="0" fontId="27" fillId="8" borderId="15" xfId="40" applyFont="1" applyFill="1" applyBorder="1"/>
    <xf numFmtId="0" fontId="27" fillId="8" borderId="0" xfId="40" applyFont="1" applyFill="1" applyBorder="1"/>
    <xf numFmtId="0" fontId="27" fillId="8" borderId="0" xfId="40" applyFont="1" applyFill="1" applyAlignment="1">
      <alignment vertical="center"/>
    </xf>
    <xf numFmtId="0" fontId="28" fillId="8" borderId="0" xfId="40" applyFont="1" applyFill="1" applyAlignment="1">
      <alignment vertical="center"/>
    </xf>
    <xf numFmtId="0" fontId="27" fillId="8" borderId="0" xfId="40" applyFont="1" applyFill="1" applyAlignment="1">
      <alignment horizontal="center" vertical="center"/>
    </xf>
    <xf numFmtId="0" fontId="28" fillId="0" borderId="0" xfId="26" applyFont="1" applyBorder="1" applyAlignment="1">
      <alignment horizontal="center" vertical="center"/>
    </xf>
    <xf numFmtId="0" fontId="27" fillId="8" borderId="0" xfId="40" applyFont="1" applyFill="1" applyAlignment="1"/>
    <xf numFmtId="0" fontId="28" fillId="8" borderId="0" xfId="48" applyFont="1" applyFill="1" applyAlignment="1">
      <alignment horizontal="center" vertical="center"/>
    </xf>
    <xf numFmtId="0" fontId="28" fillId="9" borderId="4" xfId="40" applyFont="1" applyFill="1" applyBorder="1"/>
    <xf numFmtId="0" fontId="27" fillId="9" borderId="4" xfId="40" applyFont="1" applyFill="1" applyBorder="1"/>
    <xf numFmtId="0" fontId="27" fillId="8" borderId="0" xfId="40" applyFont="1" applyFill="1"/>
    <xf numFmtId="0" fontId="28" fillId="9" borderId="4" xfId="40" applyFont="1" applyFill="1" applyBorder="1" applyAlignment="1">
      <alignment vertical="top" wrapText="1"/>
    </xf>
    <xf numFmtId="0" fontId="28" fillId="9" borderId="4" xfId="40" applyFont="1" applyFill="1" applyBorder="1" applyAlignment="1">
      <alignment horizontal="center" vertical="top" wrapText="1"/>
    </xf>
    <xf numFmtId="0" fontId="27" fillId="8" borderId="4" xfId="40" applyFont="1" applyFill="1" applyBorder="1"/>
    <xf numFmtId="0" fontId="27" fillId="8" borderId="4" xfId="40" applyFont="1" applyFill="1" applyBorder="1" applyAlignment="1">
      <alignment horizontal="right"/>
    </xf>
    <xf numFmtId="0" fontId="28" fillId="8" borderId="4" xfId="40" applyFont="1" applyFill="1" applyBorder="1"/>
    <xf numFmtId="2" fontId="27" fillId="8" borderId="4" xfId="40" applyNumberFormat="1" applyFont="1" applyFill="1" applyBorder="1"/>
    <xf numFmtId="43" fontId="27" fillId="8" borderId="4" xfId="59" applyNumberFormat="1" applyFont="1" applyFill="1" applyBorder="1"/>
    <xf numFmtId="2" fontId="27" fillId="0" borderId="4" xfId="40" applyNumberFormat="1" applyFont="1" applyBorder="1"/>
    <xf numFmtId="43" fontId="27" fillId="0" borderId="4" xfId="59" applyNumberFormat="1" applyFont="1" applyFill="1" applyBorder="1"/>
    <xf numFmtId="2" fontId="27" fillId="8" borderId="0" xfId="40" applyNumberFormat="1" applyFont="1" applyFill="1"/>
    <xf numFmtId="2" fontId="28" fillId="8" borderId="4" xfId="40" applyNumberFormat="1" applyFont="1" applyFill="1" applyBorder="1"/>
    <xf numFmtId="43" fontId="28" fillId="8" borderId="4" xfId="59" applyNumberFormat="1" applyFont="1" applyFill="1" applyBorder="1"/>
    <xf numFmtId="0" fontId="28" fillId="8" borderId="0" xfId="40" applyFont="1" applyFill="1"/>
    <xf numFmtId="0" fontId="28" fillId="8" borderId="0" xfId="40" applyFont="1" applyFill="1" applyBorder="1"/>
    <xf numFmtId="43" fontId="27" fillId="0" borderId="4" xfId="59" applyNumberFormat="1" applyFont="1" applyBorder="1"/>
    <xf numFmtId="43" fontId="27" fillId="8" borderId="4" xfId="59" applyNumberFormat="1" applyFont="1" applyFill="1" applyBorder="1" applyAlignment="1">
      <alignment horizontal="right"/>
    </xf>
    <xf numFmtId="0" fontId="27" fillId="0" borderId="0" xfId="25" applyFont="1" applyBorder="1"/>
    <xf numFmtId="2" fontId="27" fillId="8" borderId="0" xfId="40" applyNumberFormat="1" applyFont="1" applyFill="1" applyBorder="1"/>
    <xf numFmtId="0" fontId="27" fillId="0" borderId="15" xfId="40" applyFont="1" applyBorder="1"/>
    <xf numFmtId="0" fontId="27" fillId="0" borderId="0" xfId="40" applyFont="1" applyBorder="1"/>
    <xf numFmtId="0" fontId="28" fillId="0" borderId="0" xfId="27" applyFont="1" applyAlignment="1">
      <alignment horizontal="center" vertical="center"/>
    </xf>
    <xf numFmtId="0" fontId="28" fillId="0" borderId="0" xfId="40" applyFont="1" applyBorder="1" applyAlignment="1">
      <alignment horizontal="center" vertical="center"/>
    </xf>
    <xf numFmtId="0" fontId="28" fillId="0" borderId="0" xfId="25" applyFont="1" applyBorder="1" applyAlignment="1">
      <alignment horizontal="center" vertical="top"/>
    </xf>
    <xf numFmtId="0" fontId="28" fillId="0" borderId="0" xfId="40" applyFont="1" applyBorder="1" applyAlignment="1">
      <alignment horizontal="right"/>
    </xf>
    <xf numFmtId="0" fontId="28" fillId="4" borderId="4" xfId="40" applyFont="1" applyFill="1" applyBorder="1" applyAlignment="1">
      <alignment horizontal="center" vertical="top" wrapText="1"/>
    </xf>
    <xf numFmtId="0" fontId="28" fillId="4" borderId="4" xfId="0" applyFont="1" applyFill="1" applyBorder="1" applyAlignment="1">
      <alignment horizontal="center" vertical="top" wrapText="1"/>
    </xf>
    <xf numFmtId="0" fontId="27" fillId="0" borderId="0" xfId="40" applyFont="1" applyBorder="1" applyAlignment="1">
      <alignment horizontal="center"/>
    </xf>
    <xf numFmtId="0" fontId="27" fillId="0" borderId="4" xfId="40" applyFont="1" applyFill="1" applyBorder="1"/>
    <xf numFmtId="0" fontId="27" fillId="0" borderId="4" xfId="40" applyFont="1" applyFill="1" applyBorder="1" applyAlignment="1">
      <alignment horizontal="left" vertical="top" wrapText="1"/>
    </xf>
    <xf numFmtId="43" fontId="27" fillId="0" borderId="4" xfId="58" applyNumberFormat="1" applyFont="1" applyFill="1" applyBorder="1"/>
    <xf numFmtId="0" fontId="27" fillId="0" borderId="4" xfId="40" applyFont="1" applyFill="1" applyBorder="1" applyAlignment="1">
      <alignment horizontal="left"/>
    </xf>
    <xf numFmtId="0" fontId="28" fillId="0" borderId="4" xfId="40" applyFont="1" applyFill="1" applyBorder="1"/>
    <xf numFmtId="43" fontId="28" fillId="0" borderId="4" xfId="58" applyNumberFormat="1" applyFont="1" applyFill="1" applyBorder="1"/>
    <xf numFmtId="0" fontId="28" fillId="0" borderId="4" xfId="40" applyFont="1" applyFill="1" applyBorder="1" applyAlignment="1">
      <alignment horizontal="left" vertical="top" wrapText="1"/>
    </xf>
    <xf numFmtId="0" fontId="27" fillId="0" borderId="0" xfId="40" applyFont="1" applyFill="1" applyBorder="1"/>
    <xf numFmtId="2" fontId="27" fillId="0" borderId="0" xfId="40" applyNumberFormat="1" applyFont="1" applyFill="1" applyBorder="1"/>
    <xf numFmtId="43" fontId="27" fillId="0" borderId="0" xfId="40" applyNumberFormat="1" applyFont="1" applyBorder="1"/>
    <xf numFmtId="10" fontId="27" fillId="0" borderId="0" xfId="30" applyNumberFormat="1" applyFont="1" applyBorder="1"/>
    <xf numFmtId="0" fontId="27" fillId="0" borderId="15" xfId="25" applyFont="1" applyBorder="1"/>
    <xf numFmtId="0" fontId="27" fillId="0" borderId="0" xfId="25" applyFont="1" applyBorder="1" applyAlignment="1">
      <alignment horizontal="center"/>
    </xf>
    <xf numFmtId="0" fontId="28" fillId="4" borderId="4" xfId="25" applyFont="1" applyFill="1" applyBorder="1" applyAlignment="1">
      <alignment horizontal="center" vertical="top" wrapText="1"/>
    </xf>
    <xf numFmtId="0" fontId="27" fillId="0" borderId="4" xfId="25" applyFont="1" applyBorder="1"/>
    <xf numFmtId="0" fontId="28" fillId="0" borderId="4" xfId="25" applyFont="1" applyBorder="1" applyAlignment="1">
      <alignment horizontal="center" vertical="top" wrapText="1"/>
    </xf>
    <xf numFmtId="0" fontId="28" fillId="0" borderId="4" xfId="25" applyFont="1" applyBorder="1" applyAlignment="1">
      <alignment horizontal="left" vertical="top"/>
    </xf>
    <xf numFmtId="43" fontId="27" fillId="0" borderId="4" xfId="33" applyNumberFormat="1" applyFont="1" applyBorder="1"/>
    <xf numFmtId="0" fontId="27" fillId="0" borderId="4" xfId="25" applyFont="1" applyBorder="1" applyAlignment="1">
      <alignment wrapText="1"/>
    </xf>
    <xf numFmtId="0" fontId="28" fillId="0" borderId="21" xfId="25" applyFont="1" applyBorder="1" applyAlignment="1">
      <alignment horizontal="center" vertical="top" wrapText="1"/>
    </xf>
    <xf numFmtId="0" fontId="28" fillId="0" borderId="6" xfId="25" applyFont="1" applyBorder="1" applyAlignment="1">
      <alignment horizontal="left" vertical="top"/>
    </xf>
    <xf numFmtId="0" fontId="27" fillId="0" borderId="6" xfId="25" applyFont="1" applyBorder="1"/>
    <xf numFmtId="43" fontId="27" fillId="0" borderId="6" xfId="33" applyNumberFormat="1" applyFont="1" applyBorder="1"/>
    <xf numFmtId="0" fontId="27" fillId="0" borderId="6" xfId="25" applyFont="1" applyBorder="1" applyAlignment="1">
      <alignment wrapText="1"/>
    </xf>
    <xf numFmtId="0" fontId="28" fillId="8" borderId="6" xfId="25" applyFont="1" applyFill="1" applyBorder="1" applyAlignment="1">
      <alignment horizontal="left" vertical="top"/>
    </xf>
    <xf numFmtId="0" fontId="28" fillId="0" borderId="18" xfId="25" applyFont="1" applyBorder="1" applyAlignment="1">
      <alignment horizontal="center" vertical="top" wrapText="1"/>
    </xf>
    <xf numFmtId="2" fontId="28" fillId="0" borderId="19" xfId="26" quotePrefix="1" applyNumberFormat="1" applyFont="1" applyBorder="1" applyAlignment="1">
      <alignment horizontal="center" vertical="center" wrapText="1"/>
    </xf>
    <xf numFmtId="0" fontId="28" fillId="0" borderId="19" xfId="25" applyFont="1" applyBorder="1"/>
    <xf numFmtId="43" fontId="28" fillId="0" borderId="19" xfId="33" applyNumberFormat="1" applyFont="1" applyFill="1" applyBorder="1"/>
    <xf numFmtId="0" fontId="28" fillId="0" borderId="19" xfId="25" applyFont="1" applyBorder="1" applyAlignment="1">
      <alignment wrapText="1"/>
    </xf>
    <xf numFmtId="43" fontId="28" fillId="0" borderId="19" xfId="33" applyNumberFormat="1" applyFont="1" applyBorder="1"/>
    <xf numFmtId="0" fontId="28" fillId="0" borderId="0" xfId="25" applyFont="1" applyBorder="1"/>
    <xf numFmtId="0" fontId="27" fillId="8" borderId="0" xfId="25" applyFont="1" applyFill="1" applyBorder="1"/>
    <xf numFmtId="43" fontId="27" fillId="8" borderId="0" xfId="33" applyNumberFormat="1" applyFont="1" applyFill="1" applyBorder="1"/>
    <xf numFmtId="0" fontId="27" fillId="8" borderId="0" xfId="25" applyFont="1" applyFill="1" applyBorder="1" applyAlignment="1">
      <alignment wrapText="1"/>
    </xf>
    <xf numFmtId="0" fontId="27" fillId="0" borderId="0" xfId="25" applyFont="1" applyBorder="1" applyAlignment="1">
      <alignment wrapText="1"/>
    </xf>
    <xf numFmtId="43" fontId="27" fillId="0" borderId="0" xfId="33" applyNumberFormat="1" applyFont="1" applyBorder="1"/>
    <xf numFmtId="0" fontId="27" fillId="0" borderId="0" xfId="26" applyFont="1" applyBorder="1"/>
    <xf numFmtId="0" fontId="27" fillId="0" borderId="15" xfId="26" applyFont="1" applyBorder="1"/>
    <xf numFmtId="0" fontId="28" fillId="4" borderId="4" xfId="26" applyFont="1" applyFill="1" applyBorder="1" applyAlignment="1">
      <alignment horizontal="center"/>
    </xf>
    <xf numFmtId="0" fontId="28" fillId="0" borderId="4" xfId="26" quotePrefix="1" applyFont="1" applyFill="1" applyBorder="1" applyAlignment="1">
      <alignment horizontal="center"/>
    </xf>
    <xf numFmtId="0" fontId="27" fillId="0" borderId="4" xfId="26" applyFont="1" applyFill="1" applyBorder="1" applyAlignment="1">
      <alignment vertical="top" wrapText="1"/>
    </xf>
    <xf numFmtId="0" fontId="27" fillId="0" borderId="4" xfId="26" applyFont="1" applyFill="1" applyBorder="1" applyAlignment="1">
      <alignment horizontal="center" vertical="top" wrapText="1"/>
    </xf>
    <xf numFmtId="0" fontId="27" fillId="0" borderId="4" xfId="26" applyFont="1" applyFill="1" applyBorder="1"/>
    <xf numFmtId="0" fontId="27" fillId="0" borderId="4" xfId="26" applyFont="1" applyFill="1" applyBorder="1" applyAlignment="1">
      <alignment horizontal="center"/>
    </xf>
    <xf numFmtId="2" fontId="27" fillId="0" borderId="4" xfId="26" applyNumberFormat="1" applyFont="1" applyFill="1" applyBorder="1" applyAlignment="1">
      <alignment horizontal="center"/>
    </xf>
    <xf numFmtId="0" fontId="27" fillId="0" borderId="4" xfId="26" applyFont="1" applyFill="1" applyBorder="1" applyAlignment="1">
      <alignment wrapText="1"/>
    </xf>
    <xf numFmtId="0" fontId="27" fillId="0" borderId="4" xfId="26" applyFont="1" applyFill="1" applyBorder="1" applyAlignment="1">
      <alignment vertical="center"/>
    </xf>
    <xf numFmtId="0" fontId="27" fillId="0" borderId="4" xfId="26" applyFont="1" applyFill="1" applyBorder="1" applyAlignment="1">
      <alignment horizontal="center" wrapText="1"/>
    </xf>
    <xf numFmtId="15" fontId="27" fillId="0" borderId="4" xfId="26" applyNumberFormat="1" applyFont="1" applyFill="1" applyBorder="1" applyAlignment="1">
      <alignment horizontal="center" wrapText="1"/>
    </xf>
    <xf numFmtId="0" fontId="27" fillId="0" borderId="0" xfId="26" applyFont="1" applyFill="1" applyBorder="1"/>
    <xf numFmtId="0" fontId="28" fillId="0" borderId="0" xfId="27" applyFont="1" applyBorder="1" applyAlignment="1">
      <alignment vertical="center"/>
    </xf>
    <xf numFmtId="0" fontId="28" fillId="0" borderId="0" xfId="26" applyFont="1" applyBorder="1" applyAlignment="1">
      <alignment vertical="top"/>
    </xf>
    <xf numFmtId="0" fontId="26" fillId="0" borderId="0" xfId="26" applyFont="1" applyAlignment="1">
      <alignment horizontal="center" vertical="center"/>
    </xf>
    <xf numFmtId="0" fontId="28" fillId="0" borderId="0" xfId="26" applyFont="1" applyFill="1" applyBorder="1" applyAlignment="1"/>
    <xf numFmtId="0" fontId="27" fillId="4" borderId="4" xfId="26" applyFont="1" applyFill="1" applyBorder="1" applyAlignment="1">
      <alignment horizontal="center"/>
    </xf>
    <xf numFmtId="0" fontId="28" fillId="4" borderId="4" xfId="26" quotePrefix="1" applyFont="1" applyFill="1" applyBorder="1" applyAlignment="1">
      <alignment horizontal="center" vertical="top" wrapText="1"/>
    </xf>
    <xf numFmtId="0" fontId="28" fillId="4" borderId="4" xfId="26" applyFont="1" applyFill="1" applyBorder="1" applyAlignment="1">
      <alignment horizontal="center" vertical="top" wrapText="1"/>
    </xf>
    <xf numFmtId="0" fontId="28" fillId="0" borderId="4" xfId="26" applyFont="1" applyFill="1" applyBorder="1" applyAlignment="1">
      <alignment horizontal="left" vertical="top" wrapText="1"/>
    </xf>
    <xf numFmtId="0" fontId="28" fillId="0" borderId="4" xfId="26" applyFont="1" applyFill="1" applyBorder="1" applyAlignment="1">
      <alignment horizontal="center" vertical="top" wrapText="1"/>
    </xf>
    <xf numFmtId="2" fontId="36" fillId="0" borderId="0" xfId="26" applyNumberFormat="1" applyFont="1" applyBorder="1"/>
    <xf numFmtId="2" fontId="27" fillId="0" borderId="4" xfId="26" applyNumberFormat="1" applyFont="1" applyFill="1" applyBorder="1"/>
    <xf numFmtId="9" fontId="37" fillId="0" borderId="0" xfId="30" applyFont="1" applyBorder="1"/>
    <xf numFmtId="0" fontId="37" fillId="0" borderId="0" xfId="26" applyFont="1" applyBorder="1"/>
    <xf numFmtId="0" fontId="28" fillId="0" borderId="4" xfId="26" applyFont="1" applyFill="1" applyBorder="1"/>
    <xf numFmtId="0" fontId="28" fillId="0" borderId="4" xfId="26" applyFont="1" applyFill="1" applyBorder="1" applyAlignment="1">
      <alignment horizontal="center"/>
    </xf>
    <xf numFmtId="2" fontId="28" fillId="0" borderId="4" xfId="26" applyNumberFormat="1" applyFont="1" applyFill="1" applyBorder="1" applyAlignment="1">
      <alignment horizontal="center"/>
    </xf>
    <xf numFmtId="2" fontId="28" fillId="0" borderId="4" xfId="26" applyNumberFormat="1" applyFont="1" applyFill="1" applyBorder="1"/>
    <xf numFmtId="10" fontId="37" fillId="0" borderId="0" xfId="30" applyNumberFormat="1" applyFont="1" applyBorder="1"/>
    <xf numFmtId="0" fontId="36" fillId="0" borderId="0" xfId="26" applyFont="1" applyBorder="1"/>
    <xf numFmtId="0" fontId="27" fillId="0" borderId="4" xfId="26" applyFont="1" applyFill="1" applyBorder="1" applyAlignment="1">
      <alignment horizontal="right"/>
    </xf>
    <xf numFmtId="10" fontId="30" fillId="0" borderId="0" xfId="30" applyNumberFormat="1" applyFont="1" applyBorder="1"/>
    <xf numFmtId="0" fontId="30" fillId="0" borderId="0" xfId="26" applyFont="1" applyBorder="1"/>
    <xf numFmtId="0" fontId="27" fillId="8" borderId="4" xfId="26" applyFont="1" applyFill="1" applyBorder="1" applyAlignment="1">
      <alignment horizontal="right"/>
    </xf>
    <xf numFmtId="172" fontId="30" fillId="0" borderId="0" xfId="30" applyNumberFormat="1" applyFont="1" applyBorder="1"/>
    <xf numFmtId="2" fontId="30" fillId="0" borderId="0" xfId="26" applyNumberFormat="1" applyFont="1" applyBorder="1"/>
    <xf numFmtId="2" fontId="27" fillId="0" borderId="0" xfId="26" applyNumberFormat="1" applyFont="1" applyBorder="1"/>
    <xf numFmtId="171" fontId="30" fillId="0" borderId="0" xfId="26" applyNumberFormat="1" applyFont="1" applyBorder="1"/>
    <xf numFmtId="46" fontId="28" fillId="0" borderId="4" xfId="26" quotePrefix="1" applyNumberFormat="1" applyFont="1" applyFill="1" applyBorder="1" applyAlignment="1">
      <alignment horizontal="center"/>
    </xf>
    <xf numFmtId="0" fontId="28" fillId="0" borderId="4" xfId="26" applyNumberFormat="1" applyFont="1" applyFill="1" applyBorder="1" applyAlignment="1">
      <alignment horizontal="center"/>
    </xf>
    <xf numFmtId="2" fontId="29" fillId="0" borderId="0" xfId="26" applyNumberFormat="1" applyFont="1" applyBorder="1"/>
    <xf numFmtId="0" fontId="28" fillId="0" borderId="0" xfId="26" applyFont="1" applyBorder="1"/>
    <xf numFmtId="0" fontId="28" fillId="0" borderId="4" xfId="26" applyFont="1" applyFill="1" applyBorder="1" applyAlignment="1">
      <alignment wrapText="1"/>
    </xf>
    <xf numFmtId="0" fontId="27" fillId="0" borderId="0" xfId="26" applyFont="1" applyFill="1" applyBorder="1" applyAlignment="1">
      <alignment horizontal="left" vertical="top"/>
    </xf>
    <xf numFmtId="46" fontId="38" fillId="0" borderId="0" xfId="26" applyNumberFormat="1" applyFont="1" applyFill="1" applyBorder="1" applyAlignment="1">
      <alignment horizontal="left"/>
    </xf>
    <xf numFmtId="0" fontId="38" fillId="0" borderId="0" xfId="26" applyNumberFormat="1" applyFont="1" applyFill="1" applyBorder="1" applyAlignment="1">
      <alignment horizontal="center"/>
    </xf>
    <xf numFmtId="43" fontId="39" fillId="0" borderId="0" xfId="26" applyNumberFormat="1" applyFont="1" applyFill="1" applyBorder="1" applyAlignment="1">
      <alignment horizontal="center"/>
    </xf>
    <xf numFmtId="9" fontId="39" fillId="0" borderId="0" xfId="30" quotePrefix="1" applyFont="1" applyFill="1" applyBorder="1" applyAlignment="1">
      <alignment horizontal="right"/>
    </xf>
    <xf numFmtId="2" fontId="27" fillId="0" borderId="0" xfId="26" applyNumberFormat="1" applyFont="1" applyFill="1" applyBorder="1"/>
    <xf numFmtId="43" fontId="39" fillId="0" borderId="0" xfId="32" applyNumberFormat="1" applyFont="1" applyFill="1" applyBorder="1" applyAlignment="1">
      <alignment horizontal="center"/>
    </xf>
    <xf numFmtId="43" fontId="27" fillId="0" borderId="0" xfId="32" applyNumberFormat="1" applyFont="1" applyFill="1" applyBorder="1"/>
    <xf numFmtId="173" fontId="27" fillId="0" borderId="0" xfId="26" applyNumberFormat="1" applyFont="1" applyBorder="1"/>
    <xf numFmtId="0" fontId="27" fillId="0" borderId="0" xfId="31" applyFont="1" applyBorder="1" applyAlignment="1">
      <alignment wrapText="1"/>
    </xf>
    <xf numFmtId="0" fontId="27" fillId="0" borderId="15" xfId="31" applyFont="1" applyBorder="1" applyAlignment="1">
      <alignment wrapText="1"/>
    </xf>
    <xf numFmtId="0" fontId="27" fillId="0" borderId="0" xfId="31" applyFont="1" applyFill="1" applyBorder="1" applyAlignment="1">
      <alignment wrapText="1"/>
    </xf>
    <xf numFmtId="0" fontId="27" fillId="0" borderId="0" xfId="31" applyFont="1" applyBorder="1" applyAlignment="1">
      <alignment horizontal="center" wrapText="1"/>
    </xf>
    <xf numFmtId="0" fontId="26" fillId="0" borderId="0" xfId="26" applyFont="1" applyAlignment="1">
      <alignment vertical="center"/>
    </xf>
    <xf numFmtId="0" fontId="27" fillId="0" borderId="0" xfId="26" applyFont="1" applyBorder="1" applyAlignment="1">
      <alignment vertical="center"/>
    </xf>
    <xf numFmtId="0" fontId="28" fillId="0" borderId="0" xfId="26" applyFont="1" applyBorder="1" applyAlignment="1">
      <alignment vertical="center"/>
    </xf>
    <xf numFmtId="0" fontId="26" fillId="9" borderId="4" xfId="26" applyFont="1" applyFill="1" applyBorder="1" applyAlignment="1">
      <alignment horizontal="center" vertical="center" wrapText="1"/>
    </xf>
    <xf numFmtId="1" fontId="26" fillId="9" borderId="4" xfId="26" applyNumberFormat="1" applyFont="1" applyFill="1" applyBorder="1" applyAlignment="1">
      <alignment horizontal="center" vertical="center" wrapText="1"/>
    </xf>
    <xf numFmtId="0" fontId="27" fillId="0" borderId="5" xfId="26" applyFont="1" applyBorder="1" applyAlignment="1">
      <alignment horizontal="center" vertical="center"/>
    </xf>
    <xf numFmtId="0" fontId="27" fillId="0" borderId="4" xfId="26" applyFont="1" applyBorder="1" applyAlignment="1">
      <alignment horizontal="left" vertical="center" wrapText="1"/>
    </xf>
    <xf numFmtId="0" fontId="27" fillId="0" borderId="4" xfId="26" applyFont="1" applyBorder="1" applyAlignment="1">
      <alignment horizontal="center" vertical="center"/>
    </xf>
    <xf numFmtId="1" fontId="28" fillId="0" borderId="13" xfId="26" applyNumberFormat="1" applyFont="1" applyBorder="1" applyAlignment="1">
      <alignment horizontal="center" vertical="center"/>
    </xf>
    <xf numFmtId="2" fontId="27" fillId="0" borderId="17" xfId="26" applyNumberFormat="1" applyFont="1" applyBorder="1" applyAlignment="1">
      <alignment horizontal="center" vertical="center"/>
    </xf>
    <xf numFmtId="0" fontId="28" fillId="0" borderId="0" xfId="31" applyFont="1" applyFill="1" applyBorder="1" applyAlignment="1">
      <alignment wrapText="1"/>
    </xf>
    <xf numFmtId="0" fontId="28" fillId="0" borderId="0" xfId="31" applyFont="1" applyBorder="1" applyAlignment="1">
      <alignment wrapText="1"/>
    </xf>
    <xf numFmtId="0" fontId="27" fillId="0" borderId="4" xfId="26" applyFont="1" applyBorder="1" applyAlignment="1">
      <alignment horizontal="center" vertical="center" wrapText="1"/>
    </xf>
    <xf numFmtId="2" fontId="27" fillId="0" borderId="4" xfId="26" applyNumberFormat="1" applyFont="1" applyBorder="1" applyAlignment="1">
      <alignment horizontal="center" vertical="center"/>
    </xf>
    <xf numFmtId="0" fontId="27" fillId="0" borderId="18" xfId="26" applyFont="1" applyBorder="1" applyAlignment="1">
      <alignment vertical="center"/>
    </xf>
    <xf numFmtId="0" fontId="27" fillId="0" borderId="19" xfId="26" applyFont="1" applyFill="1" applyBorder="1" applyAlignment="1">
      <alignment horizontal="left" vertical="center" wrapText="1"/>
    </xf>
    <xf numFmtId="0" fontId="27" fillId="0" borderId="19" xfId="26" applyFont="1" applyBorder="1" applyAlignment="1">
      <alignment horizontal="center" vertical="center"/>
    </xf>
    <xf numFmtId="0" fontId="27" fillId="0" borderId="19" xfId="26" applyFont="1" applyFill="1" applyBorder="1" applyAlignment="1">
      <alignment horizontal="left" vertical="center"/>
    </xf>
    <xf numFmtId="1" fontId="28" fillId="0" borderId="19" xfId="26" applyNumberFormat="1" applyFont="1" applyBorder="1" applyAlignment="1">
      <alignment horizontal="center" vertical="center"/>
    </xf>
    <xf numFmtId="2" fontId="27" fillId="0" borderId="20" xfId="26" applyNumberFormat="1" applyFont="1" applyBorder="1" applyAlignment="1">
      <alignment horizontal="center" vertical="center"/>
    </xf>
    <xf numFmtId="2" fontId="27" fillId="0" borderId="0" xfId="31" applyNumberFormat="1" applyFont="1" applyBorder="1" applyAlignment="1">
      <alignment wrapText="1"/>
    </xf>
    <xf numFmtId="171" fontId="37" fillId="0" borderId="0" xfId="31" applyNumberFormat="1" applyFont="1" applyBorder="1" applyAlignment="1">
      <alignment horizontal="center" wrapText="1"/>
    </xf>
    <xf numFmtId="2" fontId="27" fillId="0" borderId="0" xfId="31" applyNumberFormat="1" applyFont="1" applyBorder="1" applyAlignment="1">
      <alignment horizontal="center" wrapText="1"/>
    </xf>
    <xf numFmtId="171" fontId="27" fillId="0" borderId="0" xfId="31" applyNumberFormat="1" applyFont="1" applyBorder="1" applyAlignment="1">
      <alignment wrapText="1"/>
    </xf>
    <xf numFmtId="0" fontId="40" fillId="0" borderId="0" xfId="31" applyFont="1" applyBorder="1" applyAlignment="1">
      <alignment horizontal="center" wrapText="1"/>
    </xf>
    <xf numFmtId="2" fontId="40" fillId="0" borderId="0" xfId="31" applyNumberFormat="1" applyFont="1" applyBorder="1" applyAlignment="1">
      <alignment horizontal="center" wrapText="1"/>
    </xf>
    <xf numFmtId="171" fontId="40" fillId="0" borderId="0" xfId="31" applyNumberFormat="1" applyFont="1" applyBorder="1" applyAlignment="1">
      <alignment horizontal="center" wrapText="1"/>
    </xf>
    <xf numFmtId="170" fontId="28" fillId="0" borderId="0" xfId="29" applyNumberFormat="1" applyFont="1" applyFill="1" applyBorder="1" applyAlignment="1">
      <alignment horizontal="center" wrapText="1"/>
    </xf>
    <xf numFmtId="170" fontId="27" fillId="0" borderId="0" xfId="31" applyNumberFormat="1" applyFont="1" applyBorder="1" applyAlignment="1">
      <alignment horizontal="center" wrapText="1"/>
    </xf>
    <xf numFmtId="0" fontId="27" fillId="0" borderId="0" xfId="25" applyFont="1" applyBorder="1" applyAlignment="1">
      <alignment vertical="center"/>
    </xf>
    <xf numFmtId="0" fontId="27" fillId="0" borderId="15" xfId="25" applyFont="1" applyBorder="1" applyAlignment="1">
      <alignment vertical="center" wrapText="1"/>
    </xf>
    <xf numFmtId="2" fontId="27" fillId="0" borderId="0" xfId="25" applyNumberFormat="1" applyFont="1" applyBorder="1"/>
    <xf numFmtId="0" fontId="27" fillId="0" borderId="0" xfId="25" applyFont="1" applyFill="1" applyBorder="1"/>
    <xf numFmtId="0" fontId="27" fillId="0" borderId="0" xfId="25" applyFont="1" applyFill="1" applyBorder="1" applyAlignment="1">
      <alignment vertical="center" wrapText="1"/>
    </xf>
    <xf numFmtId="0" fontId="28" fillId="0" borderId="0" xfId="25" applyFont="1" applyBorder="1" applyAlignment="1">
      <alignment horizontal="right" wrapText="1"/>
    </xf>
    <xf numFmtId="0" fontId="27" fillId="0" borderId="0" xfId="25" applyFont="1" applyFill="1" applyBorder="1" applyAlignment="1">
      <alignment horizontal="center"/>
    </xf>
    <xf numFmtId="0" fontId="27" fillId="0" borderId="0" xfId="25" applyFont="1" applyFill="1" applyBorder="1" applyAlignment="1">
      <alignment horizontal="center" vertical="center"/>
    </xf>
    <xf numFmtId="0" fontId="27" fillId="0" borderId="0" xfId="25" applyFont="1" applyBorder="1" applyAlignment="1">
      <alignment horizontal="center" vertical="center"/>
    </xf>
    <xf numFmtId="0" fontId="28" fillId="4" borderId="4" xfId="25" applyFont="1" applyFill="1" applyBorder="1" applyAlignment="1">
      <alignment horizontal="center" vertical="center" wrapText="1"/>
    </xf>
    <xf numFmtId="0" fontId="27" fillId="0" borderId="0" xfId="25" applyFont="1" applyFill="1" applyBorder="1" applyAlignment="1">
      <alignment horizontal="center" vertical="center" wrapText="1"/>
    </xf>
    <xf numFmtId="0" fontId="27" fillId="0" borderId="0" xfId="25" applyFont="1" applyBorder="1" applyAlignment="1">
      <alignment horizontal="center" vertical="center" wrapText="1"/>
    </xf>
    <xf numFmtId="2" fontId="28" fillId="4" borderId="4" xfId="25" applyNumberFormat="1" applyFont="1" applyFill="1" applyBorder="1" applyAlignment="1">
      <alignment horizontal="center" vertical="center" wrapText="1"/>
    </xf>
    <xf numFmtId="169" fontId="28" fillId="0" borderId="4" xfId="25" quotePrefix="1" applyNumberFormat="1" applyFont="1" applyFill="1" applyBorder="1" applyAlignment="1">
      <alignment horizontal="center" vertical="center" wrapText="1"/>
    </xf>
    <xf numFmtId="0" fontId="28" fillId="0" borderId="4" xfId="25" applyFont="1" applyFill="1" applyBorder="1" applyAlignment="1">
      <alignment horizontal="justify" vertical="center" wrapText="1"/>
    </xf>
    <xf numFmtId="0" fontId="28" fillId="0" borderId="4" xfId="25" applyFont="1" applyFill="1" applyBorder="1" applyAlignment="1">
      <alignment horizontal="justify" vertical="top"/>
    </xf>
    <xf numFmtId="43" fontId="28" fillId="0" borderId="4" xfId="28" applyNumberFormat="1" applyFont="1" applyFill="1" applyBorder="1" applyAlignment="1">
      <alignment horizontal="right" vertical="center"/>
    </xf>
    <xf numFmtId="0" fontId="28" fillId="0" borderId="4" xfId="25" applyFont="1" applyFill="1" applyBorder="1" applyAlignment="1">
      <alignment wrapText="1"/>
    </xf>
    <xf numFmtId="0" fontId="28" fillId="0" borderId="0" xfId="25" applyFont="1" applyFill="1" applyBorder="1"/>
    <xf numFmtId="169" fontId="27" fillId="0" borderId="4" xfId="25" applyNumberFormat="1" applyFont="1" applyFill="1" applyBorder="1" applyAlignment="1">
      <alignment horizontal="center" vertical="center"/>
    </xf>
    <xf numFmtId="0" fontId="27" fillId="0" borderId="4" xfId="25" applyFont="1" applyFill="1" applyBorder="1" applyAlignment="1">
      <alignment vertical="center" wrapText="1"/>
    </xf>
    <xf numFmtId="0" fontId="27" fillId="0" borderId="4" xfId="29" applyFont="1" applyFill="1" applyBorder="1" applyAlignment="1"/>
    <xf numFmtId="43" fontId="27" fillId="0" borderId="4" xfId="28" applyNumberFormat="1" applyFont="1" applyFill="1" applyBorder="1" applyAlignment="1">
      <alignment horizontal="right" vertical="center"/>
    </xf>
    <xf numFmtId="2" fontId="27" fillId="0" borderId="4" xfId="25" applyNumberFormat="1" applyFont="1" applyFill="1" applyBorder="1" applyAlignment="1">
      <alignment wrapText="1"/>
    </xf>
    <xf numFmtId="0" fontId="27" fillId="0" borderId="4" xfId="29" applyFont="1" applyFill="1" applyBorder="1" applyAlignment="1">
      <alignment vertical="center" wrapText="1"/>
    </xf>
    <xf numFmtId="0" fontId="27" fillId="0" borderId="4" xfId="29" applyFont="1" applyFill="1" applyBorder="1"/>
    <xf numFmtId="0" fontId="27" fillId="0" borderId="4" xfId="25" applyFont="1" applyFill="1" applyBorder="1" applyAlignment="1">
      <alignment horizontal="center" vertical="center"/>
    </xf>
    <xf numFmtId="0" fontId="28" fillId="0" borderId="4" xfId="29" applyFont="1" applyFill="1" applyBorder="1"/>
    <xf numFmtId="2" fontId="28" fillId="0" borderId="4" xfId="25" applyNumberFormat="1" applyFont="1" applyFill="1" applyBorder="1" applyAlignment="1">
      <alignment wrapText="1"/>
    </xf>
    <xf numFmtId="169" fontId="28" fillId="0" borderId="4" xfId="26" applyNumberFormat="1" applyFont="1" applyBorder="1" applyAlignment="1">
      <alignment horizontal="center" vertical="center"/>
    </xf>
    <xf numFmtId="0" fontId="28" fillId="0" borderId="4" xfId="29" applyFont="1" applyBorder="1" applyAlignment="1">
      <alignment vertical="center" wrapText="1"/>
    </xf>
    <xf numFmtId="169" fontId="27" fillId="0" borderId="4" xfId="26" applyNumberFormat="1" applyFont="1" applyBorder="1" applyAlignment="1">
      <alignment horizontal="center" vertical="center"/>
    </xf>
    <xf numFmtId="0" fontId="27" fillId="0" borderId="4" xfId="29" applyFont="1" applyBorder="1" applyAlignment="1">
      <alignment vertical="center" wrapText="1"/>
    </xf>
    <xf numFmtId="0" fontId="28" fillId="0" borderId="4" xfId="25" applyFont="1" applyBorder="1"/>
    <xf numFmtId="43" fontId="28" fillId="0" borderId="4" xfId="28" applyNumberFormat="1" applyFont="1" applyBorder="1" applyAlignment="1">
      <alignment horizontal="right" vertical="center"/>
    </xf>
    <xf numFmtId="0" fontId="28" fillId="0" borderId="4" xfId="25" applyFont="1" applyBorder="1" applyAlignment="1">
      <alignment wrapText="1"/>
    </xf>
    <xf numFmtId="43" fontId="27" fillId="0" borderId="4" xfId="28" applyNumberFormat="1" applyFont="1" applyBorder="1" applyAlignment="1">
      <alignment horizontal="right" vertical="center"/>
    </xf>
    <xf numFmtId="43" fontId="28" fillId="0" borderId="4" xfId="25" applyNumberFormat="1" applyFont="1" applyBorder="1" applyAlignment="1">
      <alignment wrapText="1"/>
    </xf>
    <xf numFmtId="0" fontId="28" fillId="0" borderId="4" xfId="26" applyFont="1" applyBorder="1" applyAlignment="1">
      <alignment vertical="center" wrapText="1"/>
    </xf>
    <xf numFmtId="0" fontId="27" fillId="0" borderId="4" xfId="26" applyFont="1" applyBorder="1" applyAlignment="1">
      <alignment vertical="center" wrapText="1"/>
    </xf>
    <xf numFmtId="43" fontId="28" fillId="0" borderId="4" xfId="25" applyNumberFormat="1" applyFont="1" applyBorder="1"/>
    <xf numFmtId="0" fontId="27" fillId="0" borderId="0" xfId="25" applyFont="1" applyBorder="1" applyAlignment="1">
      <alignment vertical="center" wrapText="1"/>
    </xf>
    <xf numFmtId="0" fontId="28" fillId="0" borderId="0" xfId="27" applyFont="1" applyBorder="1" applyAlignment="1">
      <alignment horizontal="right" vertical="center"/>
    </xf>
    <xf numFmtId="0" fontId="28" fillId="4" borderId="4" xfId="26" applyFont="1" applyFill="1" applyBorder="1" applyAlignment="1">
      <alignment horizontal="center" vertical="center"/>
    </xf>
    <xf numFmtId="0" fontId="28" fillId="4" borderId="4" xfId="26" applyFont="1" applyFill="1" applyBorder="1" applyAlignment="1">
      <alignment horizontal="center" vertical="center" wrapText="1"/>
    </xf>
    <xf numFmtId="0" fontId="27" fillId="0" borderId="0" xfId="26" applyFont="1" applyBorder="1" applyAlignment="1">
      <alignment horizontal="center" vertical="center"/>
    </xf>
    <xf numFmtId="0" fontId="41" fillId="0" borderId="4" xfId="26" applyFont="1" applyBorder="1" applyAlignment="1">
      <alignment horizontal="justify" vertical="top"/>
    </xf>
    <xf numFmtId="0" fontId="27" fillId="0" borderId="4" xfId="26" applyFont="1" applyBorder="1" applyAlignment="1">
      <alignment horizontal="justify" vertical="top"/>
    </xf>
    <xf numFmtId="0" fontId="28" fillId="0" borderId="4" xfId="26" applyFont="1" applyBorder="1" applyAlignment="1">
      <alignment horizontal="justify" vertical="top"/>
    </xf>
    <xf numFmtId="0" fontId="27" fillId="0" borderId="0" xfId="26" applyFont="1" applyAlignment="1">
      <alignment vertical="center"/>
    </xf>
    <xf numFmtId="0" fontId="27" fillId="0" borderId="0" xfId="26" applyFont="1" applyAlignment="1">
      <alignment vertical="center" wrapText="1"/>
    </xf>
    <xf numFmtId="0" fontId="27" fillId="0" borderId="16" xfId="25" applyFont="1" applyBorder="1"/>
    <xf numFmtId="0" fontId="28" fillId="4" borderId="4" xfId="25" applyFont="1" applyFill="1" applyBorder="1" applyAlignment="1">
      <alignment horizontal="justify" vertical="top" wrapText="1"/>
    </xf>
    <xf numFmtId="0" fontId="28" fillId="4" borderId="4" xfId="25" applyFont="1" applyFill="1" applyBorder="1" applyAlignment="1">
      <alignment vertical="top" wrapText="1"/>
    </xf>
    <xf numFmtId="0" fontId="27" fillId="0" borderId="0" xfId="25" applyFont="1" applyBorder="1" applyAlignment="1">
      <alignment vertical="top" wrapText="1"/>
    </xf>
    <xf numFmtId="168" fontId="27" fillId="0" borderId="4" xfId="26" applyNumberFormat="1" applyFont="1" applyBorder="1" applyAlignment="1">
      <alignment horizontal="center" vertical="center" wrapText="1"/>
    </xf>
    <xf numFmtId="0" fontId="27" fillId="0" borderId="4" xfId="26" applyFont="1" applyFill="1" applyBorder="1" applyAlignment="1">
      <alignment horizontal="left" vertical="center" wrapText="1"/>
    </xf>
    <xf numFmtId="0" fontId="27" fillId="0" borderId="0" xfId="26" applyFont="1" applyBorder="1" applyAlignment="1">
      <alignment horizontal="left" vertical="center" wrapText="1"/>
    </xf>
    <xf numFmtId="0" fontId="27" fillId="0" borderId="0" xfId="26" applyFont="1" applyBorder="1" applyAlignment="1">
      <alignment horizontal="center" vertical="center" wrapText="1"/>
    </xf>
    <xf numFmtId="2" fontId="27" fillId="0" borderId="0" xfId="26" applyNumberFormat="1" applyFont="1" applyBorder="1" applyAlignment="1">
      <alignment horizontal="center" vertical="center" wrapText="1"/>
    </xf>
    <xf numFmtId="0" fontId="27" fillId="0" borderId="0" xfId="26" applyFont="1" applyFill="1" applyBorder="1" applyAlignment="1">
      <alignment horizontal="center" vertical="center" wrapText="1"/>
    </xf>
    <xf numFmtId="14" fontId="27" fillId="0" borderId="0" xfId="25" applyNumberFormat="1" applyFont="1" applyBorder="1"/>
    <xf numFmtId="14" fontId="27" fillId="0" borderId="0" xfId="26" applyNumberFormat="1" applyFont="1" applyBorder="1" applyAlignment="1">
      <alignment horizontal="center" vertical="center" wrapText="1"/>
    </xf>
    <xf numFmtId="0" fontId="27" fillId="0" borderId="0" xfId="25" applyFont="1" applyBorder="1" applyAlignment="1">
      <alignment vertical="top"/>
    </xf>
    <xf numFmtId="0" fontId="27" fillId="0" borderId="0" xfId="15" applyFont="1" applyAlignment="1">
      <alignment horizontal="center" vertical="center"/>
    </xf>
    <xf numFmtId="0" fontId="27" fillId="0" borderId="0" xfId="15" applyFont="1" applyAlignment="1">
      <alignment vertical="center"/>
    </xf>
    <xf numFmtId="0" fontId="27" fillId="0" borderId="0" xfId="15" applyFont="1">
      <alignment vertical="center"/>
    </xf>
    <xf numFmtId="0" fontId="28" fillId="0" borderId="0" xfId="10" applyFont="1" applyBorder="1" applyAlignment="1">
      <alignment horizontal="center" vertical="top"/>
    </xf>
    <xf numFmtId="0" fontId="28" fillId="0" borderId="0" xfId="10" applyFont="1" applyBorder="1" applyAlignment="1"/>
    <xf numFmtId="0" fontId="28" fillId="0" borderId="0" xfId="15" applyFont="1" applyAlignment="1">
      <alignment horizontal="right" vertical="center"/>
    </xf>
    <xf numFmtId="0" fontId="27" fillId="0" borderId="4" xfId="15" applyFont="1" applyBorder="1" applyAlignment="1">
      <alignment horizontal="center" vertical="center"/>
    </xf>
    <xf numFmtId="0" fontId="27" fillId="0" borderId="4" xfId="15" applyFont="1" applyBorder="1">
      <alignment vertical="center"/>
    </xf>
    <xf numFmtId="0" fontId="27" fillId="0" borderId="4" xfId="17" applyFont="1" applyBorder="1" applyAlignment="1">
      <alignment horizontal="center" vertical="center"/>
    </xf>
    <xf numFmtId="0" fontId="27" fillId="0" borderId="4" xfId="17" applyFont="1" applyBorder="1">
      <alignment vertical="center"/>
    </xf>
    <xf numFmtId="0" fontId="27" fillId="0" borderId="4" xfId="17" applyFont="1" applyBorder="1" applyAlignment="1">
      <alignment vertical="top" wrapText="1"/>
    </xf>
    <xf numFmtId="0" fontId="28" fillId="0" borderId="4" xfId="17" applyFont="1" applyBorder="1">
      <alignment vertical="center"/>
    </xf>
    <xf numFmtId="0" fontId="28" fillId="0" borderId="4" xfId="17" applyFont="1" applyBorder="1" applyAlignment="1">
      <alignment vertical="center" wrapText="1"/>
    </xf>
    <xf numFmtId="0" fontId="28" fillId="0" borderId="4" xfId="15" applyFont="1" applyBorder="1" applyAlignment="1">
      <alignment horizontal="center" vertical="top" wrapText="1"/>
    </xf>
    <xf numFmtId="0" fontId="28" fillId="0" borderId="4" xfId="15" applyFont="1" applyBorder="1" applyAlignment="1">
      <alignment vertical="top" wrapText="1"/>
    </xf>
    <xf numFmtId="0" fontId="27" fillId="0" borderId="4" xfId="15" applyFont="1" applyBorder="1" applyAlignment="1">
      <alignment horizontal="center" vertical="top" wrapText="1"/>
    </xf>
    <xf numFmtId="0" fontId="27" fillId="0" borderId="4" xfId="15" applyFont="1" applyBorder="1" applyAlignment="1">
      <alignment vertical="top" wrapText="1"/>
    </xf>
    <xf numFmtId="0" fontId="28" fillId="0" borderId="4" xfId="15" applyFont="1" applyBorder="1">
      <alignment vertical="center"/>
    </xf>
    <xf numFmtId="0" fontId="28" fillId="0" borderId="0" xfId="15" applyFont="1" applyBorder="1" applyAlignment="1">
      <alignment horizontal="center" vertical="top" wrapText="1"/>
    </xf>
    <xf numFmtId="0" fontId="28" fillId="0" borderId="0" xfId="15" applyFont="1" applyBorder="1" applyAlignment="1">
      <alignment vertical="top" wrapText="1"/>
    </xf>
    <xf numFmtId="0" fontId="28" fillId="0" borderId="0" xfId="15" applyFont="1" applyBorder="1">
      <alignment vertical="center"/>
    </xf>
    <xf numFmtId="0" fontId="27" fillId="0" borderId="0" xfId="15" applyFont="1" applyAlignment="1">
      <alignment horizontal="left" vertical="center"/>
    </xf>
    <xf numFmtId="0" fontId="27" fillId="0" borderId="0" xfId="27" applyFont="1" applyAlignment="1">
      <alignment horizontal="center" vertical="center"/>
    </xf>
    <xf numFmtId="0" fontId="28" fillId="0" borderId="0" xfId="27" applyFont="1">
      <alignment vertical="center"/>
    </xf>
    <xf numFmtId="0" fontId="28" fillId="0" borderId="0" xfId="0" applyFont="1" applyBorder="1" applyAlignment="1">
      <alignment horizontal="center" vertical="center"/>
    </xf>
    <xf numFmtId="0" fontId="27" fillId="0" borderId="0" xfId="27" applyFont="1">
      <alignment vertical="center"/>
    </xf>
    <xf numFmtId="0" fontId="27" fillId="0" borderId="0" xfId="40" applyFont="1"/>
    <xf numFmtId="0" fontId="27" fillId="0" borderId="0" xfId="40" applyFont="1" applyAlignment="1">
      <alignment vertical="top"/>
    </xf>
    <xf numFmtId="0" fontId="28" fillId="0" borderId="0" xfId="40" applyFont="1"/>
    <xf numFmtId="0" fontId="28" fillId="0" borderId="0" xfId="27" applyFont="1" applyAlignment="1">
      <alignment horizontal="left" vertical="center"/>
    </xf>
    <xf numFmtId="0" fontId="28" fillId="9" borderId="6" xfId="40" applyFont="1" applyFill="1" applyBorder="1" applyAlignment="1">
      <alignment horizontal="center" vertical="center" wrapText="1"/>
    </xf>
    <xf numFmtId="0" fontId="28" fillId="9" borderId="4" xfId="40" applyFont="1" applyFill="1" applyBorder="1" applyAlignment="1">
      <alignment horizontal="center" vertical="center" wrapText="1"/>
    </xf>
    <xf numFmtId="0" fontId="28" fillId="0" borderId="8" xfId="27" applyFont="1" applyBorder="1" applyAlignment="1">
      <alignment horizontal="center" vertical="center"/>
    </xf>
    <xf numFmtId="0" fontId="28" fillId="0" borderId="6" xfId="40" applyFont="1" applyBorder="1" applyAlignment="1">
      <alignment horizontal="center" vertical="center" wrapText="1"/>
    </xf>
    <xf numFmtId="0" fontId="28" fillId="0" borderId="4" xfId="40" applyFont="1" applyBorder="1" applyAlignment="1">
      <alignment horizontal="center" vertical="center" wrapText="1"/>
    </xf>
    <xf numFmtId="0" fontId="28" fillId="0" borderId="4" xfId="27" applyFont="1" applyBorder="1">
      <alignment vertical="center"/>
    </xf>
    <xf numFmtId="0" fontId="27" fillId="0" borderId="4" xfId="27" applyFont="1" applyBorder="1" applyAlignment="1">
      <alignment horizontal="center" vertical="center"/>
    </xf>
    <xf numFmtId="0" fontId="27" fillId="0" borderId="4" xfId="27" applyFont="1" applyBorder="1">
      <alignment vertical="center"/>
    </xf>
    <xf numFmtId="0" fontId="27" fillId="0" borderId="0" xfId="0" applyFont="1" applyAlignment="1">
      <alignment vertical="center"/>
    </xf>
    <xf numFmtId="0" fontId="28" fillId="0" borderId="0" xfId="0" applyFont="1" applyBorder="1" applyAlignment="1">
      <alignment horizontal="right"/>
    </xf>
    <xf numFmtId="0" fontId="28" fillId="4" borderId="4" xfId="15" applyFont="1" applyFill="1" applyBorder="1" applyAlignment="1">
      <alignment horizontal="center" vertical="center"/>
    </xf>
    <xf numFmtId="0" fontId="28" fillId="4" borderId="4" xfId="15" applyFont="1" applyFill="1" applyBorder="1" applyAlignment="1">
      <alignment horizontal="center" vertical="center" wrapText="1"/>
    </xf>
    <xf numFmtId="0" fontId="27" fillId="0" borderId="4" xfId="0" applyFont="1" applyBorder="1" applyAlignment="1">
      <alignment horizontal="center" vertical="top"/>
    </xf>
    <xf numFmtId="0" fontId="27" fillId="0" borderId="4" xfId="0" applyFont="1" applyFill="1" applyBorder="1" applyAlignment="1" applyProtection="1">
      <alignment horizontal="left" vertical="top" wrapText="1"/>
    </xf>
    <xf numFmtId="0" fontId="27" fillId="0" borderId="4" xfId="14" applyFont="1" applyBorder="1">
      <alignment vertical="center"/>
    </xf>
    <xf numFmtId="0" fontId="28" fillId="0" borderId="4" xfId="0" applyFont="1" applyBorder="1"/>
    <xf numFmtId="0" fontId="27" fillId="0" borderId="4" xfId="0" applyFont="1" applyBorder="1" applyAlignment="1">
      <alignment vertical="top"/>
    </xf>
    <xf numFmtId="0" fontId="28" fillId="0" borderId="4" xfId="0" applyFont="1" applyBorder="1" applyAlignment="1">
      <alignment vertical="top"/>
    </xf>
    <xf numFmtId="0" fontId="28" fillId="0" borderId="0" xfId="10" applyFont="1" applyBorder="1" applyAlignment="1">
      <alignment horizontal="center" vertical="center"/>
    </xf>
    <xf numFmtId="0" fontId="28" fillId="0" borderId="0" xfId="10" applyFont="1" applyBorder="1" applyAlignment="1">
      <alignment horizontal="center" wrapText="1"/>
    </xf>
    <xf numFmtId="0" fontId="27" fillId="0" borderId="4" xfId="0" applyFont="1" applyFill="1" applyBorder="1" applyAlignment="1" applyProtection="1">
      <alignment horizontal="center" vertical="center"/>
    </xf>
    <xf numFmtId="0" fontId="27" fillId="0" borderId="4" xfId="0" applyFont="1" applyBorder="1" applyAlignment="1">
      <alignment vertical="top" wrapText="1"/>
    </xf>
    <xf numFmtId="0" fontId="27" fillId="0" borderId="0" xfId="0" applyFont="1" applyBorder="1" applyAlignment="1">
      <alignment horizontal="center" vertical="center"/>
    </xf>
    <xf numFmtId="0" fontId="27" fillId="0" borderId="0" xfId="0" applyFont="1" applyBorder="1" applyAlignment="1">
      <alignment wrapText="1"/>
    </xf>
    <xf numFmtId="0" fontId="27" fillId="0" borderId="0" xfId="15" applyFont="1" applyAlignment="1">
      <alignment vertical="center" wrapText="1"/>
    </xf>
    <xf numFmtId="0" fontId="27" fillId="0" borderId="0" xfId="0" applyFont="1" applyAlignment="1">
      <alignment horizontal="center"/>
    </xf>
    <xf numFmtId="0" fontId="28" fillId="0" borderId="0" xfId="10" applyFont="1" applyBorder="1" applyAlignment="1">
      <alignment horizontal="center" vertical="center" wrapText="1"/>
    </xf>
    <xf numFmtId="0" fontId="26" fillId="0" borderId="4" xfId="22" applyFont="1" applyBorder="1" applyAlignment="1">
      <alignment vertical="center" wrapText="1"/>
    </xf>
    <xf numFmtId="0" fontId="26" fillId="0" borderId="4" xfId="22" applyFont="1" applyBorder="1" applyAlignment="1">
      <alignment horizontal="center" vertical="center"/>
    </xf>
    <xf numFmtId="43" fontId="27" fillId="0" borderId="4" xfId="23" applyFont="1" applyBorder="1" applyAlignment="1">
      <alignment vertical="center"/>
    </xf>
    <xf numFmtId="0" fontId="27" fillId="0" borderId="0" xfId="10" applyFont="1" applyAlignment="1">
      <alignment horizontal="left" vertical="center" wrapText="1"/>
    </xf>
    <xf numFmtId="0" fontId="27" fillId="0" borderId="0" xfId="10" applyFont="1" applyFill="1" applyAlignment="1">
      <alignment horizontal="left" vertical="center"/>
    </xf>
    <xf numFmtId="0" fontId="27" fillId="0" borderId="0" xfId="10" applyFont="1" applyFill="1" applyAlignment="1">
      <alignment horizontal="left" vertical="center" wrapText="1"/>
    </xf>
    <xf numFmtId="0" fontId="27" fillId="0" borderId="0" xfId="10" applyFont="1" applyFill="1" applyBorder="1" applyAlignment="1">
      <alignment vertical="top"/>
    </xf>
    <xf numFmtId="0" fontId="28" fillId="0" borderId="0" xfId="10" applyFont="1" applyBorder="1" applyAlignment="1">
      <alignment horizontal="center" vertical="center" wrapText="1"/>
    </xf>
    <xf numFmtId="0" fontId="27" fillId="0" borderId="0" xfId="10" applyFont="1" applyAlignment="1">
      <alignment vertical="center" wrapText="1"/>
    </xf>
    <xf numFmtId="0" fontId="28" fillId="4" borderId="12" xfId="27" applyFont="1" applyFill="1" applyBorder="1" applyAlignment="1">
      <alignment horizontal="center" vertical="center" wrapText="1"/>
    </xf>
    <xf numFmtId="43" fontId="32" fillId="0" borderId="4" xfId="23" applyFont="1" applyBorder="1" applyAlignment="1">
      <alignment vertical="center"/>
    </xf>
    <xf numFmtId="0" fontId="27" fillId="0" borderId="0" xfId="10" applyFont="1" applyAlignment="1">
      <alignment horizontal="center" vertical="center" wrapText="1"/>
    </xf>
    <xf numFmtId="0" fontId="28" fillId="4" borderId="4" xfId="27" applyFont="1" applyFill="1" applyBorder="1" applyAlignment="1">
      <alignment horizontal="center" vertical="center"/>
    </xf>
    <xf numFmtId="0" fontId="27" fillId="4" borderId="4" xfId="27" applyFont="1" applyFill="1" applyBorder="1">
      <alignment vertical="center"/>
    </xf>
    <xf numFmtId="0" fontId="26" fillId="0" borderId="9" xfId="22" applyFont="1" applyBorder="1" applyAlignment="1">
      <alignment horizontal="center" vertical="center"/>
    </xf>
    <xf numFmtId="0" fontId="26" fillId="0" borderId="4" xfId="22" applyFont="1" applyBorder="1" applyAlignment="1">
      <alignment horizontal="center" vertical="center" wrapText="1"/>
    </xf>
    <xf numFmtId="0" fontId="26" fillId="0" borderId="9" xfId="22" applyFont="1" applyBorder="1" applyAlignment="1">
      <alignment horizontal="center" vertical="center" wrapText="1"/>
    </xf>
    <xf numFmtId="2" fontId="26" fillId="0" borderId="4" xfId="22" applyNumberFormat="1" applyFont="1" applyBorder="1" applyAlignment="1">
      <alignment vertical="center"/>
    </xf>
    <xf numFmtId="0" fontId="26" fillId="9" borderId="4" xfId="22" applyFont="1" applyFill="1" applyBorder="1" applyAlignment="1">
      <alignment horizontal="center" vertical="center"/>
    </xf>
    <xf numFmtId="0" fontId="26" fillId="9" borderId="4" xfId="22" applyFont="1" applyFill="1" applyBorder="1" applyAlignment="1">
      <alignment horizontal="left" vertical="center" wrapText="1"/>
    </xf>
    <xf numFmtId="0" fontId="27" fillId="9" borderId="0" xfId="15" applyFont="1" applyFill="1">
      <alignment vertical="center"/>
    </xf>
    <xf numFmtId="0" fontId="26" fillId="9" borderId="4" xfId="22" applyFont="1" applyFill="1" applyBorder="1" applyAlignment="1">
      <alignment horizontal="center" vertical="center" wrapText="1"/>
    </xf>
    <xf numFmtId="0" fontId="27" fillId="9" borderId="4" xfId="15" applyFont="1" applyFill="1" applyBorder="1">
      <alignment vertical="center"/>
    </xf>
    <xf numFmtId="0" fontId="27" fillId="0" borderId="0" xfId="17" applyFont="1" applyAlignment="1">
      <alignment vertical="center"/>
    </xf>
    <xf numFmtId="0" fontId="27" fillId="0" borderId="0" xfId="10" applyFont="1" applyAlignment="1">
      <alignment horizontal="left" vertical="center"/>
    </xf>
    <xf numFmtId="0" fontId="32" fillId="0" borderId="0" xfId="40" applyFont="1" applyAlignment="1">
      <alignment vertical="center" wrapText="1"/>
    </xf>
    <xf numFmtId="43" fontId="32" fillId="11" borderId="4" xfId="23" applyFont="1" applyFill="1" applyBorder="1" applyAlignment="1">
      <alignment vertical="center"/>
    </xf>
    <xf numFmtId="0" fontId="26" fillId="0" borderId="4" xfId="22" applyFont="1" applyFill="1" applyBorder="1" applyAlignment="1">
      <alignment horizontal="center" vertical="center"/>
    </xf>
    <xf numFmtId="9" fontId="27" fillId="0" borderId="0" xfId="0" applyNumberFormat="1" applyFont="1"/>
    <xf numFmtId="0" fontId="26" fillId="0" borderId="4" xfId="22" applyFont="1" applyBorder="1" applyAlignment="1">
      <alignment vertical="center"/>
    </xf>
    <xf numFmtId="9" fontId="27" fillId="0" borderId="0" xfId="72" applyFont="1"/>
    <xf numFmtId="0" fontId="27" fillId="0" borderId="0" xfId="0" applyFont="1" applyAlignment="1">
      <alignment wrapText="1"/>
    </xf>
    <xf numFmtId="0" fontId="28" fillId="4" borderId="4" xfId="27" applyFont="1" applyFill="1" applyBorder="1" applyAlignment="1">
      <alignment horizontal="center" vertical="center" wrapText="1"/>
    </xf>
    <xf numFmtId="0" fontId="27" fillId="0" borderId="0" xfId="14" applyFont="1">
      <alignment vertical="center"/>
    </xf>
    <xf numFmtId="0" fontId="27" fillId="0" borderId="4" xfId="15" applyFont="1" applyBorder="1" applyAlignment="1">
      <alignment vertical="center" wrapText="1"/>
    </xf>
    <xf numFmtId="0" fontId="27" fillId="0" borderId="0" xfId="14" applyFont="1" applyAlignment="1">
      <alignment vertical="center"/>
    </xf>
    <xf numFmtId="0" fontId="27" fillId="0" borderId="4" xfId="15" applyFont="1" applyBorder="1" applyAlignment="1">
      <alignment horizontal="center" vertical="center" wrapText="1"/>
    </xf>
    <xf numFmtId="0" fontId="27" fillId="5" borderId="4" xfId="10" applyFont="1" applyFill="1" applyBorder="1" applyAlignment="1" applyProtection="1">
      <alignment horizontal="left" vertical="center" wrapText="1"/>
    </xf>
    <xf numFmtId="0" fontId="28" fillId="0" borderId="4" xfId="15" applyFont="1" applyBorder="1" applyAlignment="1">
      <alignment vertical="center" wrapText="1"/>
    </xf>
    <xf numFmtId="0" fontId="27" fillId="0" borderId="4" xfId="27" applyFont="1" applyBorder="1" applyAlignment="1">
      <alignment horizontal="center" vertical="top" wrapText="1"/>
    </xf>
    <xf numFmtId="0" fontId="27" fillId="0" borderId="4" xfId="27" applyFont="1" applyBorder="1" applyAlignment="1">
      <alignment vertical="top" wrapText="1"/>
    </xf>
    <xf numFmtId="0" fontId="27" fillId="0" borderId="4" xfId="27" applyFont="1" applyBorder="1" applyAlignment="1">
      <alignment horizontal="center" vertical="center" wrapText="1"/>
    </xf>
    <xf numFmtId="0" fontId="27" fillId="5" borderId="4" xfId="40" applyFont="1" applyFill="1" applyBorder="1" applyAlignment="1" applyProtection="1">
      <alignment horizontal="left" wrapText="1"/>
    </xf>
    <xf numFmtId="0" fontId="28" fillId="0" borderId="4" xfId="27" applyFont="1" applyBorder="1" applyAlignment="1">
      <alignment vertical="top" wrapText="1"/>
    </xf>
    <xf numFmtId="0" fontId="27" fillId="0" borderId="0" xfId="15" applyFont="1" applyAlignment="1">
      <alignment horizontal="centerContinuous" vertical="center"/>
    </xf>
    <xf numFmtId="0" fontId="27" fillId="0" borderId="0" xfId="10" applyFont="1" applyBorder="1" applyAlignment="1">
      <alignment horizontal="centerContinuous"/>
    </xf>
    <xf numFmtId="0" fontId="27" fillId="8" borderId="0" xfId="10" applyFont="1" applyFill="1" applyBorder="1" applyAlignment="1">
      <alignment horizontal="centerContinuous"/>
    </xf>
    <xf numFmtId="0" fontId="28" fillId="0" borderId="0" xfId="15" applyFont="1">
      <alignment vertical="center"/>
    </xf>
    <xf numFmtId="0" fontId="27" fillId="0" borderId="0" xfId="10" applyFont="1" applyBorder="1" applyAlignment="1">
      <alignment horizontal="center"/>
    </xf>
    <xf numFmtId="0" fontId="27" fillId="0" borderId="4" xfId="0" applyFont="1" applyFill="1" applyBorder="1" applyAlignment="1" applyProtection="1">
      <alignment vertical="top" wrapText="1"/>
    </xf>
    <xf numFmtId="0" fontId="27" fillId="5" borderId="4" xfId="10" applyFont="1" applyFill="1" applyBorder="1" applyAlignment="1">
      <alignment horizontal="center"/>
    </xf>
    <xf numFmtId="0" fontId="28" fillId="5" borderId="4" xfId="10" applyFont="1" applyFill="1" applyBorder="1"/>
    <xf numFmtId="0" fontId="28" fillId="0" borderId="4" xfId="0" applyFont="1" applyFill="1" applyBorder="1" applyAlignment="1" applyProtection="1">
      <alignment horizontal="left" vertical="top" wrapText="1"/>
    </xf>
    <xf numFmtId="0" fontId="27" fillId="5" borderId="4" xfId="10" applyFont="1" applyFill="1" applyBorder="1"/>
    <xf numFmtId="0" fontId="28" fillId="0" borderId="0" xfId="15" applyFont="1" applyFill="1" applyBorder="1" applyAlignment="1">
      <alignment vertical="center" wrapText="1"/>
    </xf>
    <xf numFmtId="0" fontId="28" fillId="5" borderId="4" xfId="10" applyFont="1" applyFill="1" applyBorder="1" applyAlignment="1" applyProtection="1">
      <alignment vertical="top" wrapText="1"/>
    </xf>
    <xf numFmtId="0" fontId="27" fillId="5" borderId="4" xfId="10" applyFont="1" applyFill="1" applyBorder="1" applyAlignment="1">
      <alignment horizontal="center" vertical="center"/>
    </xf>
    <xf numFmtId="0" fontId="28" fillId="0" borderId="4" xfId="0" applyFont="1" applyFill="1" applyBorder="1" applyAlignment="1" applyProtection="1">
      <alignment vertical="top" wrapText="1"/>
    </xf>
    <xf numFmtId="0" fontId="28" fillId="0" borderId="4" xfId="0" applyFont="1" applyBorder="1" applyAlignment="1">
      <alignment horizontal="center" vertical="top"/>
    </xf>
    <xf numFmtId="0" fontId="28" fillId="5" borderId="0" xfId="10" applyFont="1" applyFill="1" applyBorder="1" applyAlignment="1">
      <alignment vertical="center"/>
    </xf>
    <xf numFmtId="0" fontId="27" fillId="5" borderId="0" xfId="10" applyFont="1" applyFill="1" applyBorder="1"/>
    <xf numFmtId="0" fontId="27" fillId="0" borderId="0" xfId="10" applyFont="1" applyAlignment="1">
      <alignment vertical="center"/>
    </xf>
    <xf numFmtId="166" fontId="27" fillId="0" borderId="0" xfId="10" applyNumberFormat="1" applyFont="1" applyFill="1" applyBorder="1" applyProtection="1"/>
    <xf numFmtId="0" fontId="27" fillId="0" borderId="0" xfId="10" applyFont="1" applyFill="1" applyBorder="1"/>
    <xf numFmtId="0" fontId="27" fillId="5" borderId="0" xfId="10" applyFont="1" applyFill="1" applyBorder="1" applyAlignment="1">
      <alignment vertical="center"/>
    </xf>
    <xf numFmtId="0" fontId="27" fillId="5" borderId="4" xfId="10" applyFont="1" applyFill="1" applyBorder="1" applyAlignment="1" applyProtection="1">
      <alignment horizontal="left"/>
    </xf>
    <xf numFmtId="0" fontId="27" fillId="8" borderId="0" xfId="10" applyFont="1" applyFill="1" applyBorder="1" applyAlignment="1">
      <alignment horizontal="left"/>
    </xf>
    <xf numFmtId="0" fontId="28" fillId="0" borderId="0" xfId="15" applyFont="1" applyAlignment="1">
      <alignment horizontal="left" vertical="center"/>
    </xf>
    <xf numFmtId="0" fontId="27" fillId="8" borderId="0" xfId="15" applyFont="1" applyFill="1" applyBorder="1">
      <alignment vertical="center"/>
    </xf>
    <xf numFmtId="0" fontId="28" fillId="0" borderId="4" xfId="15" applyFont="1" applyBorder="1" applyAlignment="1">
      <alignment horizontal="center" vertical="center"/>
    </xf>
    <xf numFmtId="0" fontId="28" fillId="5" borderId="4" xfId="10" applyFont="1" applyFill="1" applyBorder="1" applyAlignment="1" applyProtection="1">
      <alignment horizontal="left"/>
    </xf>
    <xf numFmtId="0" fontId="28" fillId="5" borderId="0" xfId="10" applyFont="1" applyFill="1" applyBorder="1" applyAlignment="1" applyProtection="1">
      <alignment horizontal="left"/>
    </xf>
    <xf numFmtId="0" fontId="27" fillId="5" borderId="4" xfId="10" quotePrefix="1" applyFont="1" applyFill="1" applyBorder="1" applyAlignment="1">
      <alignment horizontal="left" vertical="top" wrapText="1"/>
    </xf>
    <xf numFmtId="0" fontId="27" fillId="0" borderId="0" xfId="15" applyFont="1" applyBorder="1" applyAlignment="1">
      <alignment horizontal="center" vertical="center"/>
    </xf>
    <xf numFmtId="0" fontId="27" fillId="5" borderId="0" xfId="10" quotePrefix="1" applyFont="1" applyFill="1" applyBorder="1" applyAlignment="1">
      <alignment horizontal="left" vertical="top" wrapText="1"/>
    </xf>
    <xf numFmtId="0" fontId="27" fillId="0" borderId="0" xfId="15" applyFont="1" applyBorder="1">
      <alignment vertical="center"/>
    </xf>
    <xf numFmtId="0" fontId="28" fillId="0" borderId="4" xfId="27" applyFont="1" applyFill="1" applyBorder="1" applyAlignment="1">
      <alignment horizontal="center" vertical="center" wrapText="1"/>
    </xf>
    <xf numFmtId="0" fontId="28" fillId="0" borderId="8" xfId="27" applyFont="1" applyFill="1" applyBorder="1" applyAlignment="1">
      <alignment horizontal="center" vertical="center" wrapText="1"/>
    </xf>
    <xf numFmtId="0" fontId="28" fillId="0" borderId="0" xfId="10" applyFont="1" applyBorder="1" applyAlignment="1">
      <alignment horizontal="center" vertical="center"/>
    </xf>
    <xf numFmtId="0" fontId="27" fillId="0" borderId="0" xfId="10" applyFont="1" applyAlignment="1">
      <alignment horizontal="centerContinuous"/>
    </xf>
    <xf numFmtId="0" fontId="28" fillId="0" borderId="0" xfId="10" applyFont="1" applyAlignment="1">
      <alignment horizontal="centerContinuous"/>
    </xf>
    <xf numFmtId="0" fontId="28" fillId="5" borderId="0" xfId="10" applyFont="1" applyFill="1" applyBorder="1" applyAlignment="1">
      <alignment horizontal="left"/>
    </xf>
    <xf numFmtId="0" fontId="28" fillId="0" borderId="0" xfId="10" applyFont="1" applyFill="1" applyBorder="1" applyAlignment="1">
      <alignment horizontal="center"/>
    </xf>
    <xf numFmtId="0" fontId="28" fillId="0" borderId="4" xfId="10" applyFont="1" applyFill="1" applyBorder="1"/>
    <xf numFmtId="0" fontId="27" fillId="0" borderId="4" xfId="10" applyFont="1" applyFill="1" applyBorder="1"/>
    <xf numFmtId="0" fontId="27" fillId="0" borderId="0" xfId="10" applyFont="1" applyFill="1"/>
    <xf numFmtId="0" fontId="28" fillId="0" borderId="4" xfId="10" applyFont="1" applyFill="1" applyBorder="1" applyAlignment="1">
      <alignment horizontal="left"/>
    </xf>
    <xf numFmtId="0" fontId="44" fillId="0" borderId="4" xfId="10" applyFont="1" applyFill="1" applyBorder="1"/>
    <xf numFmtId="0" fontId="27" fillId="0" borderId="4" xfId="10" applyFont="1" applyFill="1" applyBorder="1" applyAlignment="1">
      <alignment horizontal="left"/>
    </xf>
    <xf numFmtId="0" fontId="27" fillId="10" borderId="4" xfId="10" applyFont="1" applyFill="1" applyBorder="1"/>
    <xf numFmtId="0" fontId="28" fillId="10" borderId="4" xfId="10" applyFont="1" applyFill="1" applyBorder="1"/>
    <xf numFmtId="0" fontId="27" fillId="8" borderId="0" xfId="10" applyFont="1" applyFill="1"/>
    <xf numFmtId="0" fontId="28" fillId="0" borderId="0" xfId="17" applyFont="1" applyAlignment="1">
      <alignment vertical="center" wrapText="1"/>
    </xf>
    <xf numFmtId="0" fontId="28" fillId="5" borderId="0" xfId="10" applyFont="1" applyFill="1" applyBorder="1" applyAlignment="1">
      <alignment horizontal="center"/>
    </xf>
    <xf numFmtId="0" fontId="45" fillId="10" borderId="4" xfId="10" applyFont="1" applyFill="1" applyBorder="1"/>
    <xf numFmtId="0" fontId="46" fillId="0" borderId="0" xfId="10" applyFont="1"/>
    <xf numFmtId="0" fontId="28" fillId="0" borderId="0" xfId="10" applyFont="1"/>
    <xf numFmtId="0" fontId="36" fillId="5" borderId="0" xfId="10" applyFont="1" applyFill="1" applyBorder="1"/>
    <xf numFmtId="0" fontId="38" fillId="5" borderId="0" xfId="10" applyFont="1" applyFill="1" applyBorder="1" applyAlignment="1">
      <alignment horizontal="center" vertical="center" wrapText="1"/>
    </xf>
    <xf numFmtId="0" fontId="28" fillId="0" borderId="0" xfId="40" applyFont="1" applyBorder="1" applyAlignment="1">
      <alignment horizontal="left"/>
    </xf>
    <xf numFmtId="0" fontId="27" fillId="0" borderId="0" xfId="40" applyFont="1" applyAlignment="1">
      <alignment horizontal="center" vertical="center"/>
    </xf>
    <xf numFmtId="0" fontId="28" fillId="0" borderId="0" xfId="27" applyFont="1" applyAlignment="1">
      <alignment horizontal="right" vertical="center"/>
    </xf>
    <xf numFmtId="0" fontId="27" fillId="0" borderId="4" xfId="40" applyFont="1" applyFill="1" applyBorder="1" applyAlignment="1" applyProtection="1">
      <alignment horizontal="center" vertical="center"/>
    </xf>
    <xf numFmtId="0" fontId="27" fillId="0" borderId="4" xfId="40" applyFont="1" applyBorder="1" applyAlignment="1">
      <alignment vertical="center"/>
    </xf>
    <xf numFmtId="0" fontId="27" fillId="0" borderId="4" xfId="40" applyFont="1" applyBorder="1" applyAlignment="1">
      <alignment horizontal="center" vertical="center"/>
    </xf>
    <xf numFmtId="0" fontId="27" fillId="0" borderId="0" xfId="40" applyFont="1" applyBorder="1" applyAlignment="1">
      <alignment vertical="center"/>
    </xf>
    <xf numFmtId="0" fontId="27" fillId="0" borderId="4" xfId="40" applyFont="1" applyFill="1" applyBorder="1" applyAlignment="1" applyProtection="1">
      <alignment horizontal="left" vertical="center"/>
    </xf>
    <xf numFmtId="2" fontId="27" fillId="0" borderId="4" xfId="40" applyNumberFormat="1" applyFont="1" applyFill="1" applyBorder="1" applyAlignment="1" applyProtection="1">
      <alignment horizontal="center" vertical="center"/>
    </xf>
    <xf numFmtId="0" fontId="27" fillId="0" borderId="0" xfId="40" applyFont="1" applyFill="1" applyBorder="1" applyAlignment="1">
      <alignment vertical="center"/>
    </xf>
    <xf numFmtId="0" fontId="28" fillId="0" borderId="0" xfId="40" applyFont="1" applyBorder="1" applyAlignment="1">
      <alignment vertical="center"/>
    </xf>
    <xf numFmtId="0" fontId="27" fillId="0" borderId="0" xfId="40" applyFont="1" applyFill="1" applyBorder="1" applyAlignment="1" applyProtection="1">
      <alignment horizontal="center" vertical="center"/>
    </xf>
    <xf numFmtId="0" fontId="28" fillId="0" borderId="0" xfId="40" applyFont="1" applyFill="1" applyBorder="1" applyAlignment="1" applyProtection="1">
      <alignment horizontal="left" vertical="center" wrapText="1"/>
    </xf>
    <xf numFmtId="0" fontId="28" fillId="0" borderId="0" xfId="40" applyFont="1" applyFill="1" applyBorder="1" applyAlignment="1" applyProtection="1">
      <alignment horizontal="center" vertical="center" wrapText="1"/>
    </xf>
    <xf numFmtId="0" fontId="28" fillId="0" borderId="0" xfId="40" applyFont="1" applyFill="1" applyBorder="1" applyAlignment="1" applyProtection="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28" fillId="4" borderId="12" xfId="15" applyFont="1" applyFill="1" applyBorder="1" applyAlignment="1">
      <alignment horizontal="center" vertical="center"/>
    </xf>
    <xf numFmtId="0" fontId="28" fillId="4" borderId="12" xfId="15" applyFont="1" applyFill="1" applyBorder="1" applyAlignment="1">
      <alignment horizontal="center" vertical="center" wrapText="1"/>
    </xf>
    <xf numFmtId="0" fontId="27" fillId="0" borderId="4" xfId="0" applyFont="1" applyBorder="1"/>
    <xf numFmtId="0" fontId="27" fillId="5" borderId="4" xfId="0" applyFont="1" applyFill="1" applyBorder="1" applyAlignment="1" applyProtection="1">
      <alignment horizontal="left"/>
    </xf>
    <xf numFmtId="0" fontId="28" fillId="5" borderId="4" xfId="0" applyFont="1" applyFill="1" applyBorder="1" applyAlignment="1" applyProtection="1">
      <alignment horizontal="left"/>
    </xf>
    <xf numFmtId="0" fontId="28" fillId="0" borderId="0" xfId="0" applyFont="1" applyAlignment="1">
      <alignment horizontal="right" vertical="center"/>
    </xf>
    <xf numFmtId="0" fontId="27" fillId="5" borderId="4" xfId="0" quotePrefix="1" applyFont="1" applyFill="1" applyBorder="1" applyAlignment="1">
      <alignment horizontal="left" vertical="top" wrapText="1"/>
    </xf>
    <xf numFmtId="0" fontId="27" fillId="5" borderId="4" xfId="0" applyFont="1" applyFill="1" applyBorder="1" applyAlignment="1">
      <alignment horizontal="left" vertical="center"/>
    </xf>
    <xf numFmtId="0" fontId="27" fillId="0" borderId="4" xfId="10" applyFont="1" applyBorder="1" applyAlignment="1">
      <alignment horizontal="center" vertical="top"/>
    </xf>
    <xf numFmtId="0" fontId="27" fillId="0" borderId="4" xfId="10" applyFont="1" applyBorder="1" applyAlignment="1">
      <alignment vertical="top" wrapText="1"/>
    </xf>
    <xf numFmtId="0" fontId="28" fillId="0" borderId="4" xfId="10" applyFont="1" applyBorder="1" applyAlignment="1">
      <alignment horizontal="center" vertical="top"/>
    </xf>
    <xf numFmtId="0" fontId="28" fillId="0" borderId="4" xfId="10" applyFont="1" applyBorder="1" applyAlignment="1">
      <alignment vertical="top" wrapText="1"/>
    </xf>
    <xf numFmtId="0" fontId="27" fillId="4" borderId="4" xfId="10" applyFont="1" applyFill="1" applyBorder="1" applyAlignment="1">
      <alignment horizontal="center"/>
    </xf>
    <xf numFmtId="0" fontId="28" fillId="4" borderId="4" xfId="10" applyFont="1" applyFill="1" applyBorder="1"/>
    <xf numFmtId="0" fontId="28" fillId="8" borderId="4" xfId="10" applyFont="1" applyFill="1" applyBorder="1" applyAlignment="1" applyProtection="1">
      <alignment horizontal="left"/>
    </xf>
    <xf numFmtId="0" fontId="27" fillId="8" borderId="4" xfId="10" applyFont="1" applyFill="1" applyBorder="1" applyAlignment="1" applyProtection="1">
      <alignment horizontal="left"/>
    </xf>
    <xf numFmtId="0" fontId="32" fillId="0" borderId="4" xfId="10" applyFont="1" applyBorder="1"/>
    <xf numFmtId="0" fontId="32" fillId="0" borderId="4" xfId="10" applyFont="1" applyBorder="1" applyAlignment="1">
      <alignment vertical="top" wrapText="1"/>
    </xf>
    <xf numFmtId="0" fontId="28" fillId="0" borderId="0" xfId="11" applyFont="1" applyBorder="1" applyAlignment="1">
      <alignment horizontal="left"/>
    </xf>
    <xf numFmtId="0" fontId="27" fillId="0" borderId="0" xfId="11" applyFont="1" applyBorder="1"/>
    <xf numFmtId="0" fontId="28" fillId="0" borderId="0" xfId="11" applyFont="1" applyBorder="1" applyAlignment="1">
      <alignment horizontal="centerContinuous"/>
    </xf>
    <xf numFmtId="0" fontId="27" fillId="0" borderId="0" xfId="11" applyFont="1" applyBorder="1" applyAlignment="1">
      <alignment horizontal="centerContinuous"/>
    </xf>
    <xf numFmtId="0" fontId="27" fillId="0" borderId="0" xfId="11" applyFont="1" applyBorder="1" applyAlignment="1">
      <alignment horizontal="center"/>
    </xf>
    <xf numFmtId="0" fontId="27" fillId="0" borderId="0" xfId="11" applyFont="1" applyFill="1" applyBorder="1"/>
    <xf numFmtId="0" fontId="28" fillId="0" borderId="0" xfId="11" applyFont="1" applyFill="1" applyBorder="1" applyAlignment="1">
      <alignment horizontal="right"/>
    </xf>
    <xf numFmtId="0" fontId="28" fillId="9" borderId="12" xfId="11" applyFont="1" applyFill="1" applyBorder="1" applyAlignment="1">
      <alignment vertical="center"/>
    </xf>
    <xf numFmtId="0" fontId="27" fillId="0" borderId="0" xfId="11" applyFont="1" applyBorder="1" applyAlignment="1"/>
    <xf numFmtId="0" fontId="28" fillId="9" borderId="4" xfId="12" applyFont="1" applyFill="1" applyBorder="1" applyAlignment="1">
      <alignment horizontal="center" vertical="center"/>
    </xf>
    <xf numFmtId="0" fontId="28" fillId="5" borderId="4" xfId="11" applyFont="1" applyFill="1" applyBorder="1" applyAlignment="1">
      <alignment horizontal="center" vertical="center"/>
    </xf>
    <xf numFmtId="0" fontId="28" fillId="5" borderId="4" xfId="12" applyFont="1" applyFill="1" applyBorder="1" applyAlignment="1">
      <alignment horizontal="center" vertical="center"/>
    </xf>
    <xf numFmtId="0" fontId="28" fillId="5" borderId="7" xfId="12" applyFont="1" applyFill="1" applyBorder="1" applyAlignment="1">
      <alignment horizontal="center" vertical="center" wrapText="1"/>
    </xf>
    <xf numFmtId="0" fontId="28" fillId="5" borderId="0" xfId="15" applyFont="1" applyFill="1" applyBorder="1" applyAlignment="1">
      <alignment horizontal="center" vertical="center"/>
    </xf>
    <xf numFmtId="0" fontId="27" fillId="5" borderId="0" xfId="11" applyFont="1" applyFill="1" applyBorder="1" applyAlignment="1">
      <alignment vertical="top"/>
    </xf>
    <xf numFmtId="0" fontId="28" fillId="0" borderId="4" xfId="11" applyFont="1" applyFill="1" applyBorder="1" applyAlignment="1">
      <alignment horizontal="center" vertical="center"/>
    </xf>
    <xf numFmtId="0" fontId="28" fillId="0" borderId="4" xfId="11" applyFont="1" applyFill="1" applyBorder="1" applyAlignment="1" applyProtection="1">
      <alignment horizontal="left" vertical="center"/>
    </xf>
    <xf numFmtId="0" fontId="27" fillId="0" borderId="4" xfId="15" applyFont="1" applyFill="1" applyBorder="1">
      <alignment vertical="center"/>
    </xf>
    <xf numFmtId="0" fontId="27" fillId="0" borderId="7" xfId="15" applyFont="1" applyFill="1" applyBorder="1">
      <alignment vertical="center"/>
    </xf>
    <xf numFmtId="0" fontId="27" fillId="0" borderId="0" xfId="15" applyFont="1" applyFill="1" applyBorder="1">
      <alignment vertical="center"/>
    </xf>
    <xf numFmtId="0" fontId="28" fillId="0" borderId="0" xfId="11" applyFont="1" applyBorder="1"/>
    <xf numFmtId="0" fontId="28" fillId="0" borderId="4" xfId="11" applyFont="1" applyFill="1" applyBorder="1" applyAlignment="1">
      <alignment horizontal="center" vertical="center" wrapText="1"/>
    </xf>
    <xf numFmtId="0" fontId="28" fillId="0" borderId="4" xfId="11" applyFont="1" applyFill="1" applyBorder="1" applyAlignment="1">
      <alignment vertical="center" wrapText="1"/>
    </xf>
    <xf numFmtId="0" fontId="27" fillId="0" borderId="4" xfId="11" applyFont="1" applyFill="1" applyBorder="1" applyAlignment="1">
      <alignment horizontal="center" vertical="center" wrapText="1"/>
    </xf>
    <xf numFmtId="0" fontId="27" fillId="0" borderId="4" xfId="11" applyFont="1" applyFill="1" applyBorder="1" applyAlignment="1">
      <alignment vertical="center" wrapText="1"/>
    </xf>
    <xf numFmtId="0" fontId="27" fillId="0" borderId="4" xfId="11" quotePrefix="1" applyFont="1" applyFill="1" applyBorder="1" applyAlignment="1">
      <alignment vertical="center" wrapText="1"/>
    </xf>
    <xf numFmtId="0" fontId="27" fillId="0" borderId="10" xfId="11" quotePrefix="1" applyFont="1" applyFill="1" applyBorder="1" applyAlignment="1">
      <alignment horizontal="center" vertical="center" wrapText="1"/>
    </xf>
    <xf numFmtId="0" fontId="27" fillId="0" borderId="10" xfId="11" applyFont="1" applyFill="1" applyBorder="1" applyAlignment="1">
      <alignment horizontal="center"/>
    </xf>
    <xf numFmtId="0" fontId="27" fillId="0" borderId="3" xfId="11" applyFont="1" applyFill="1" applyBorder="1" applyAlignment="1">
      <alignment horizontal="center"/>
    </xf>
    <xf numFmtId="0" fontId="28" fillId="8" borderId="4" xfId="11" applyFont="1" applyFill="1" applyBorder="1" applyAlignment="1">
      <alignment vertical="center" wrapText="1"/>
    </xf>
    <xf numFmtId="0" fontId="28" fillId="0" borderId="10" xfId="11" applyFont="1" applyFill="1" applyBorder="1" applyAlignment="1">
      <alignment horizontal="center" vertical="center" wrapText="1"/>
    </xf>
    <xf numFmtId="0" fontId="27" fillId="0" borderId="10" xfId="11" applyFont="1" applyFill="1" applyBorder="1" applyAlignment="1">
      <alignment horizontal="center" vertical="center" wrapText="1"/>
    </xf>
    <xf numFmtId="0" fontId="28" fillId="0" borderId="10" xfId="15" applyFont="1" applyFill="1" applyBorder="1" applyAlignment="1">
      <alignment horizontal="center" vertical="center" wrapText="1"/>
    </xf>
    <xf numFmtId="0" fontId="28" fillId="0" borderId="3" xfId="15" applyFont="1" applyFill="1" applyBorder="1" applyAlignment="1">
      <alignment horizontal="center" vertical="center" wrapText="1"/>
    </xf>
    <xf numFmtId="0" fontId="27" fillId="0" borderId="0" xfId="11" applyFont="1"/>
    <xf numFmtId="0" fontId="27" fillId="0" borderId="4" xfId="11" applyFont="1" applyFill="1" applyBorder="1"/>
    <xf numFmtId="0" fontId="28" fillId="0" borderId="4" xfId="11" applyFont="1" applyFill="1" applyBorder="1" applyAlignment="1">
      <alignment horizontal="right"/>
    </xf>
    <xf numFmtId="0" fontId="28" fillId="0" borderId="7" xfId="11" applyFont="1" applyFill="1" applyBorder="1" applyAlignment="1">
      <alignment horizontal="right"/>
    </xf>
    <xf numFmtId="2" fontId="27" fillId="0" borderId="10" xfId="11" applyNumberFormat="1" applyFont="1" applyFill="1" applyBorder="1" applyAlignment="1">
      <alignment horizontal="center" vertical="center" wrapText="1"/>
    </xf>
    <xf numFmtId="0" fontId="28" fillId="0" borderId="7" xfId="15" applyFont="1" applyFill="1" applyBorder="1" applyAlignment="1">
      <alignment vertical="center" wrapText="1"/>
    </xf>
    <xf numFmtId="0" fontId="28" fillId="0" borderId="7" xfId="15" applyFont="1" applyFill="1" applyBorder="1" applyAlignment="1">
      <alignment horizontal="center" vertical="center" wrapText="1"/>
    </xf>
    <xf numFmtId="0" fontId="28" fillId="6" borderId="4" xfId="11" applyFont="1" applyFill="1" applyBorder="1" applyAlignment="1">
      <alignment horizontal="center" vertical="center" wrapText="1"/>
    </xf>
    <xf numFmtId="0" fontId="28" fillId="6" borderId="4" xfId="11" applyFont="1" applyFill="1" applyBorder="1" applyAlignment="1">
      <alignment vertical="center" wrapText="1"/>
    </xf>
    <xf numFmtId="2" fontId="28" fillId="6" borderId="4" xfId="11" applyNumberFormat="1" applyFont="1" applyFill="1" applyBorder="1" applyAlignment="1">
      <alignment horizontal="center" vertical="center" wrapText="1"/>
    </xf>
    <xf numFmtId="0" fontId="28" fillId="6" borderId="7" xfId="15" applyFont="1" applyFill="1" applyBorder="1">
      <alignment vertical="center"/>
    </xf>
    <xf numFmtId="0" fontId="28" fillId="8" borderId="4" xfId="11" applyFont="1" applyFill="1" applyBorder="1" applyAlignment="1">
      <alignment horizontal="center" vertical="center" wrapText="1"/>
    </xf>
    <xf numFmtId="0" fontId="28" fillId="8" borderId="7" xfId="15" applyFont="1" applyFill="1" applyBorder="1">
      <alignment vertical="center"/>
    </xf>
    <xf numFmtId="0" fontId="27" fillId="0" borderId="4" xfId="11" applyFont="1" applyBorder="1"/>
    <xf numFmtId="0" fontId="27" fillId="0" borderId="7" xfId="11" applyFont="1" applyBorder="1"/>
    <xf numFmtId="0" fontId="27" fillId="0" borderId="7" xfId="11" applyFont="1" applyFill="1" applyBorder="1"/>
    <xf numFmtId="0" fontId="27" fillId="0" borderId="4" xfId="11" applyFont="1" applyFill="1" applyBorder="1" applyAlignment="1">
      <alignment horizontal="right" vertical="center" wrapText="1"/>
    </xf>
    <xf numFmtId="0" fontId="27" fillId="0" borderId="4" xfId="11" applyFont="1" applyFill="1" applyBorder="1" applyAlignment="1">
      <alignment horizontal="center"/>
    </xf>
    <xf numFmtId="0" fontId="28" fillId="0" borderId="4" xfId="11" applyFont="1" applyFill="1" applyBorder="1" applyAlignment="1" applyProtection="1">
      <alignment horizontal="left" vertical="center" wrapText="1"/>
    </xf>
    <xf numFmtId="2" fontId="27" fillId="0" borderId="10" xfId="11" applyNumberFormat="1" applyFont="1" applyFill="1" applyBorder="1" applyAlignment="1">
      <alignment horizontal="center"/>
    </xf>
    <xf numFmtId="2" fontId="28" fillId="6" borderId="12" xfId="11" applyNumberFormat="1" applyFont="1" applyFill="1" applyBorder="1" applyAlignment="1">
      <alignment horizontal="center" vertical="center" wrapText="1"/>
    </xf>
    <xf numFmtId="0" fontId="27" fillId="6" borderId="7" xfId="15" applyFont="1" applyFill="1" applyBorder="1">
      <alignment vertical="center"/>
    </xf>
    <xf numFmtId="0" fontId="28" fillId="7" borderId="4" xfId="11" applyFont="1" applyFill="1" applyBorder="1" applyAlignment="1">
      <alignment horizontal="center" vertical="center"/>
    </xf>
    <xf numFmtId="0" fontId="28" fillId="7" borderId="4" xfId="11" applyFont="1" applyFill="1" applyBorder="1" applyAlignment="1" applyProtection="1">
      <alignment horizontal="left" vertical="center" wrapText="1"/>
    </xf>
    <xf numFmtId="2" fontId="28" fillId="7" borderId="12" xfId="11" applyNumberFormat="1" applyFont="1" applyFill="1" applyBorder="1" applyAlignment="1" applyProtection="1">
      <alignment horizontal="center" vertical="center" wrapText="1"/>
    </xf>
    <xf numFmtId="0" fontId="27" fillId="7" borderId="11" xfId="11" applyFont="1" applyFill="1" applyBorder="1"/>
    <xf numFmtId="0" fontId="27" fillId="0" borderId="0" xfId="11" applyFont="1" applyFill="1" applyBorder="1" applyAlignment="1">
      <alignment horizontal="center" vertical="center"/>
    </xf>
    <xf numFmtId="0" fontId="28" fillId="0" borderId="0" xfId="11" applyFont="1" applyFill="1" applyBorder="1" applyAlignment="1" applyProtection="1">
      <alignment horizontal="left" vertical="center" wrapText="1"/>
    </xf>
    <xf numFmtId="0" fontId="27" fillId="0" borderId="0" xfId="11" applyFont="1" applyFill="1" applyBorder="1" applyAlignment="1"/>
    <xf numFmtId="0" fontId="28" fillId="0" borderId="0" xfId="11" applyFont="1" applyFill="1" applyBorder="1" applyAlignment="1">
      <alignment wrapText="1"/>
    </xf>
    <xf numFmtId="0" fontId="28" fillId="0" borderId="0" xfId="0" applyFont="1" applyBorder="1" applyAlignment="1">
      <alignment horizontal="center"/>
    </xf>
    <xf numFmtId="0" fontId="28" fillId="0" borderId="0" xfId="0" applyFont="1" applyBorder="1" applyAlignment="1"/>
    <xf numFmtId="0" fontId="28" fillId="0" borderId="0" xfId="0" applyFont="1" applyBorder="1" applyAlignment="1">
      <alignment vertical="top"/>
    </xf>
    <xf numFmtId="0" fontId="27" fillId="0" borderId="4" xfId="0" applyFont="1" applyFill="1" applyBorder="1" applyAlignment="1" applyProtection="1">
      <alignment horizontal="center"/>
    </xf>
    <xf numFmtId="0" fontId="27" fillId="0" borderId="4" xfId="17" applyFont="1" applyFill="1" applyBorder="1" applyAlignment="1">
      <alignment horizontal="center" vertical="center"/>
    </xf>
    <xf numFmtId="164" fontId="27" fillId="0" borderId="4" xfId="73" applyFont="1" applyFill="1" applyBorder="1" applyAlignment="1">
      <alignment horizontal="center" vertical="center"/>
    </xf>
    <xf numFmtId="164" fontId="27" fillId="8" borderId="4" xfId="73" applyFont="1" applyFill="1" applyBorder="1" applyAlignment="1" applyProtection="1">
      <alignment horizontal="left"/>
    </xf>
    <xf numFmtId="164" fontId="27" fillId="8" borderId="4" xfId="73" applyFont="1" applyFill="1" applyBorder="1" applyAlignment="1">
      <alignment horizontal="center" wrapText="1"/>
    </xf>
    <xf numFmtId="164" fontId="27" fillId="0" borderId="4" xfId="73" applyFont="1" applyBorder="1" applyAlignment="1">
      <alignment vertical="top"/>
    </xf>
    <xf numFmtId="164" fontId="27" fillId="0" borderId="0" xfId="73" applyFont="1" applyBorder="1" applyAlignment="1">
      <alignment vertical="top"/>
    </xf>
    <xf numFmtId="0" fontId="27" fillId="0" borderId="4" xfId="10" applyFont="1" applyFill="1" applyBorder="1" applyAlignment="1" applyProtection="1">
      <alignment horizontal="left"/>
    </xf>
    <xf numFmtId="164" fontId="27" fillId="0" borderId="6" xfId="73" applyFont="1" applyFill="1" applyBorder="1" applyAlignment="1">
      <alignment horizontal="center" vertical="center"/>
    </xf>
    <xf numFmtId="0" fontId="27" fillId="0" borderId="0" xfId="0" applyFont="1" applyFill="1" applyBorder="1" applyAlignment="1">
      <alignment vertical="top"/>
    </xf>
    <xf numFmtId="164" fontId="27" fillId="0" borderId="9" xfId="73" applyFont="1" applyFill="1" applyBorder="1" applyAlignment="1">
      <alignment horizontal="center" vertical="center"/>
    </xf>
    <xf numFmtId="164" fontId="27" fillId="0" borderId="0" xfId="73" applyFont="1" applyFill="1" applyBorder="1" applyAlignment="1">
      <alignment vertical="top"/>
    </xf>
    <xf numFmtId="164" fontId="27" fillId="0" borderId="8" xfId="73" applyFont="1" applyFill="1" applyBorder="1" applyAlignment="1">
      <alignment horizontal="center" vertical="center"/>
    </xf>
    <xf numFmtId="0" fontId="28" fillId="0" borderId="0" xfId="0" applyFont="1" applyBorder="1" applyAlignment="1">
      <alignment horizontal="center" vertical="center" wrapText="1"/>
    </xf>
    <xf numFmtId="0" fontId="28" fillId="0" borderId="10" xfId="0" applyFont="1" applyFill="1" applyBorder="1" applyAlignment="1" applyProtection="1">
      <alignment horizontal="left" vertical="center" wrapText="1"/>
    </xf>
    <xf numFmtId="0" fontId="28" fillId="8" borderId="4" xfId="0" applyFont="1" applyFill="1" applyBorder="1" applyAlignment="1" applyProtection="1">
      <alignment horizontal="center" vertical="center" wrapText="1"/>
    </xf>
    <xf numFmtId="164" fontId="28" fillId="8" borderId="4" xfId="73" applyFont="1" applyFill="1" applyBorder="1" applyAlignment="1" applyProtection="1">
      <alignment horizontal="center" vertical="center" wrapText="1"/>
    </xf>
    <xf numFmtId="164" fontId="27" fillId="0" borderId="4" xfId="73" applyFont="1" applyBorder="1" applyAlignment="1">
      <alignment horizontal="center" vertical="center" wrapText="1"/>
    </xf>
    <xf numFmtId="164" fontId="28" fillId="0" borderId="0" xfId="73" applyFont="1" applyBorder="1" applyAlignment="1">
      <alignment horizontal="center" vertical="center" wrapText="1"/>
    </xf>
    <xf numFmtId="0" fontId="28" fillId="0" borderId="0" xfId="40" applyFont="1" applyAlignment="1">
      <alignment horizontal="left"/>
    </xf>
    <xf numFmtId="0" fontId="28" fillId="9" borderId="4" xfId="27" applyFont="1" applyFill="1" applyBorder="1" applyAlignment="1">
      <alignment horizontal="center" vertical="center" wrapText="1"/>
    </xf>
    <xf numFmtId="0" fontId="27" fillId="0" borderId="4" xfId="40" applyFont="1" applyBorder="1" applyAlignment="1"/>
    <xf numFmtId="0" fontId="27" fillId="0" borderId="4" xfId="40" applyFont="1" applyBorder="1"/>
    <xf numFmtId="0" fontId="27" fillId="0" borderId="4" xfId="40" applyFont="1" applyBorder="1" applyAlignment="1">
      <alignment horizontal="center"/>
    </xf>
    <xf numFmtId="0" fontId="27" fillId="0" borderId="0" xfId="40" applyFont="1" applyFill="1"/>
    <xf numFmtId="0" fontId="27" fillId="0" borderId="0" xfId="0" applyFont="1" applyBorder="1" applyAlignment="1">
      <alignment horizontal="center"/>
    </xf>
    <xf numFmtId="0" fontId="47" fillId="0" borderId="0" xfId="0" applyFont="1" applyBorder="1"/>
    <xf numFmtId="0" fontId="47" fillId="0" borderId="4" xfId="16" applyFont="1" applyBorder="1">
      <alignment vertical="center"/>
    </xf>
    <xf numFmtId="0" fontId="47" fillId="0" borderId="4" xfId="16" applyFont="1" applyFill="1" applyBorder="1" applyAlignment="1">
      <alignment horizontal="center" vertical="center"/>
    </xf>
    <xf numFmtId="0" fontId="47" fillId="0" borderId="4" xfId="16" applyFont="1" applyBorder="1" applyAlignment="1">
      <alignment vertical="top" wrapText="1"/>
    </xf>
    <xf numFmtId="0" fontId="47" fillId="0" borderId="4" xfId="17" applyFont="1" applyFill="1" applyBorder="1" applyAlignment="1">
      <alignment horizontal="center" vertical="center"/>
    </xf>
    <xf numFmtId="0" fontId="43" fillId="0" borderId="4" xfId="16" applyFont="1" applyFill="1" applyBorder="1">
      <alignment vertical="center"/>
    </xf>
    <xf numFmtId="0" fontId="28" fillId="0" borderId="0" xfId="14" applyFont="1">
      <alignment vertical="center"/>
    </xf>
    <xf numFmtId="0" fontId="47" fillId="0" borderId="4" xfId="16" applyFont="1" applyBorder="1" applyAlignment="1">
      <alignment horizontal="center" vertical="center"/>
    </xf>
    <xf numFmtId="0" fontId="47" fillId="0" borderId="0" xfId="16" applyFont="1" applyBorder="1">
      <alignment vertical="center"/>
    </xf>
    <xf numFmtId="0" fontId="27" fillId="0" borderId="0" xfId="14" applyFont="1" applyAlignment="1">
      <alignment horizontal="center" vertical="center"/>
    </xf>
    <xf numFmtId="0" fontId="47" fillId="0" borderId="0" xfId="0" applyFont="1" applyAlignment="1">
      <alignment horizontal="center" vertical="center"/>
    </xf>
    <xf numFmtId="0" fontId="47" fillId="0" borderId="0" xfId="14" applyFont="1" applyAlignment="1">
      <alignment horizontal="center" vertical="center"/>
    </xf>
    <xf numFmtId="0" fontId="47" fillId="0" borderId="0" xfId="14" applyFont="1">
      <alignment vertical="center"/>
    </xf>
    <xf numFmtId="0" fontId="43" fillId="0" borderId="0" xfId="14" applyFont="1" applyAlignment="1">
      <alignment horizontal="right" vertical="center"/>
    </xf>
    <xf numFmtId="0" fontId="47" fillId="0" borderId="4" xfId="14" applyFont="1" applyBorder="1" applyAlignment="1">
      <alignment horizontal="center" vertical="center"/>
    </xf>
    <xf numFmtId="0" fontId="47" fillId="8" borderId="4" xfId="14" applyFont="1" applyFill="1" applyBorder="1">
      <alignment vertical="center"/>
    </xf>
    <xf numFmtId="0" fontId="47" fillId="8" borderId="4" xfId="14" applyFont="1" applyFill="1" applyBorder="1" applyAlignment="1">
      <alignment horizontal="left" vertical="center"/>
    </xf>
    <xf numFmtId="0" fontId="47" fillId="0" borderId="4" xfId="27" applyFont="1" applyBorder="1">
      <alignment vertical="center"/>
    </xf>
    <xf numFmtId="0" fontId="47" fillId="8" borderId="4" xfId="14" applyFont="1" applyFill="1" applyBorder="1" applyAlignment="1">
      <alignment vertical="top" wrapText="1"/>
    </xf>
    <xf numFmtId="0" fontId="47" fillId="12" borderId="4" xfId="14" applyFont="1" applyFill="1" applyBorder="1" applyAlignment="1">
      <alignment horizontal="center" vertical="center"/>
    </xf>
    <xf numFmtId="0" fontId="43" fillId="12" borderId="4" xfId="27" applyFont="1" applyFill="1" applyBorder="1">
      <alignment vertical="center"/>
    </xf>
    <xf numFmtId="0" fontId="47" fillId="12" borderId="4" xfId="27" applyFont="1" applyFill="1" applyBorder="1" applyAlignment="1">
      <alignment horizontal="left" vertical="center"/>
    </xf>
    <xf numFmtId="0" fontId="47" fillId="0" borderId="4" xfId="27" applyFont="1" applyBorder="1" applyAlignment="1">
      <alignment horizontal="center" vertical="center"/>
    </xf>
    <xf numFmtId="0" fontId="47" fillId="0" borderId="4" xfId="27" applyFont="1" applyFill="1" applyBorder="1" applyAlignment="1">
      <alignment horizontal="left" vertical="center"/>
    </xf>
    <xf numFmtId="0" fontId="47" fillId="0" borderId="0" xfId="27" applyFont="1" applyBorder="1" applyAlignment="1">
      <alignment horizontal="center" vertical="center"/>
    </xf>
    <xf numFmtId="0" fontId="47" fillId="0" borderId="0" xfId="27" applyFont="1" applyBorder="1">
      <alignment vertical="center"/>
    </xf>
    <xf numFmtId="0" fontId="47" fillId="0" borderId="0" xfId="27" applyFont="1" applyFill="1" applyBorder="1" applyAlignment="1">
      <alignment horizontal="left" vertical="center"/>
    </xf>
    <xf numFmtId="0" fontId="47" fillId="8" borderId="4" xfId="14" applyFont="1" applyFill="1" applyBorder="1" applyAlignment="1">
      <alignment horizontal="center" vertical="center"/>
    </xf>
    <xf numFmtId="0" fontId="32" fillId="8" borderId="0" xfId="14" applyFont="1" applyFill="1">
      <alignment vertical="center"/>
    </xf>
    <xf numFmtId="0" fontId="27" fillId="8" borderId="0" xfId="14" applyFont="1" applyFill="1">
      <alignment vertical="center"/>
    </xf>
    <xf numFmtId="164" fontId="27" fillId="5" borderId="4" xfId="73" applyFont="1" applyFill="1" applyBorder="1" applyAlignment="1" applyProtection="1">
      <alignment horizontal="left"/>
    </xf>
    <xf numFmtId="164" fontId="27" fillId="0" borderId="4" xfId="73" applyFont="1" applyBorder="1" applyAlignment="1">
      <alignment vertical="center"/>
    </xf>
    <xf numFmtId="164" fontId="28" fillId="5" borderId="4" xfId="73" applyFont="1" applyFill="1" applyBorder="1" applyAlignment="1" applyProtection="1">
      <alignment horizontal="left"/>
    </xf>
    <xf numFmtId="164" fontId="28" fillId="0" borderId="4" xfId="73" applyFont="1" applyBorder="1" applyAlignment="1">
      <alignment vertical="center"/>
    </xf>
    <xf numFmtId="164" fontId="27" fillId="8" borderId="4" xfId="73" applyFont="1" applyFill="1" applyBorder="1" applyAlignment="1">
      <alignment vertical="center"/>
    </xf>
    <xf numFmtId="0" fontId="28" fillId="0" borderId="0" xfId="10" applyFont="1" applyBorder="1" applyAlignment="1">
      <alignment horizontal="center"/>
    </xf>
    <xf numFmtId="164" fontId="27" fillId="5" borderId="4" xfId="73" applyFont="1" applyFill="1" applyBorder="1" applyAlignment="1">
      <alignment horizontal="center"/>
    </xf>
    <xf numFmtId="164" fontId="27" fillId="5" borderId="4" xfId="73" applyFont="1" applyFill="1" applyBorder="1" applyAlignment="1">
      <alignment vertical="center"/>
    </xf>
    <xf numFmtId="164" fontId="28" fillId="5" borderId="4" xfId="73" applyFont="1" applyFill="1" applyBorder="1"/>
    <xf numFmtId="164" fontId="27" fillId="5" borderId="4" xfId="73" applyFont="1" applyFill="1" applyBorder="1"/>
    <xf numFmtId="0" fontId="28" fillId="0" borderId="0" xfId="14" applyFont="1" applyAlignment="1">
      <alignment horizontal="center" vertical="center"/>
    </xf>
    <xf numFmtId="0" fontId="43" fillId="0" borderId="0" xfId="27" applyFont="1" applyAlignment="1">
      <alignment vertical="center" wrapText="1"/>
    </xf>
    <xf numFmtId="164" fontId="27" fillId="0" borderId="4" xfId="73" applyFont="1" applyBorder="1" applyAlignment="1">
      <alignment horizontal="center" vertical="center"/>
    </xf>
    <xf numFmtId="164" fontId="28" fillId="0" borderId="4" xfId="73" applyFont="1" applyBorder="1" applyAlignment="1">
      <alignment horizontal="center" vertical="center"/>
    </xf>
    <xf numFmtId="10" fontId="27" fillId="0" borderId="0" xfId="14" applyNumberFormat="1" applyFont="1" applyAlignment="1">
      <alignment vertical="center"/>
    </xf>
    <xf numFmtId="164" fontId="28" fillId="0" borderId="4" xfId="73" applyFont="1" applyBorder="1"/>
    <xf numFmtId="164" fontId="27" fillId="0" borderId="4" xfId="73" applyFont="1" applyBorder="1"/>
    <xf numFmtId="164" fontId="27" fillId="0" borderId="4" xfId="73" applyFont="1" applyBorder="1" applyAlignment="1">
      <alignment vertical="top" wrapText="1"/>
    </xf>
    <xf numFmtId="0" fontId="28" fillId="0" borderId="0" xfId="40" applyFont="1" applyAlignment="1">
      <alignment horizontal="center"/>
    </xf>
    <xf numFmtId="164" fontId="27" fillId="0" borderId="4" xfId="15" applyNumberFormat="1" applyFont="1" applyBorder="1">
      <alignment vertical="center"/>
    </xf>
    <xf numFmtId="164" fontId="28" fillId="0" borderId="4" xfId="15" applyNumberFormat="1" applyFont="1" applyBorder="1">
      <alignment vertical="center"/>
    </xf>
    <xf numFmtId="164" fontId="47" fillId="0" borderId="4" xfId="73" applyFont="1" applyFill="1" applyBorder="1" applyAlignment="1">
      <alignment horizontal="center" vertical="center"/>
    </xf>
    <xf numFmtId="164" fontId="47" fillId="0" borderId="4" xfId="73" applyFont="1" applyFill="1" applyBorder="1" applyAlignment="1">
      <alignment vertical="center"/>
    </xf>
    <xf numFmtId="164" fontId="27" fillId="11" borderId="4" xfId="73" applyFont="1" applyFill="1" applyBorder="1" applyAlignment="1">
      <alignment vertical="center"/>
    </xf>
    <xf numFmtId="164" fontId="43" fillId="0" borderId="4" xfId="73" applyFont="1" applyFill="1" applyBorder="1" applyAlignment="1">
      <alignment vertical="center"/>
    </xf>
    <xf numFmtId="164" fontId="47" fillId="0" borderId="4" xfId="73" applyFont="1" applyBorder="1" applyAlignment="1">
      <alignment horizontal="center" vertical="center"/>
    </xf>
    <xf numFmtId="164" fontId="47" fillId="0" borderId="4" xfId="73" applyFont="1" applyBorder="1" applyAlignment="1">
      <alignment vertical="center"/>
    </xf>
    <xf numFmtId="164" fontId="43" fillId="0" borderId="4" xfId="73" applyFont="1" applyFill="1" applyBorder="1" applyAlignment="1">
      <alignment horizontal="center" vertical="center"/>
    </xf>
    <xf numFmtId="164" fontId="47" fillId="0" borderId="0" xfId="73" applyFont="1" applyBorder="1" applyAlignment="1">
      <alignment vertical="center"/>
    </xf>
    <xf numFmtId="0" fontId="27" fillId="0" borderId="0" xfId="14" applyFont="1" applyBorder="1">
      <alignment vertical="center"/>
    </xf>
    <xf numFmtId="0" fontId="47" fillId="0" borderId="0" xfId="16" applyFont="1" applyBorder="1" applyAlignment="1">
      <alignment horizontal="center" vertical="center"/>
    </xf>
    <xf numFmtId="0" fontId="43" fillId="0" borderId="0" xfId="16" applyFont="1" applyBorder="1" applyAlignment="1">
      <alignment horizontal="center" vertical="center"/>
    </xf>
    <xf numFmtId="164" fontId="43" fillId="0" borderId="4" xfId="73" applyFont="1" applyBorder="1" applyAlignment="1">
      <alignment vertical="center"/>
    </xf>
    <xf numFmtId="164" fontId="28" fillId="0" borderId="4" xfId="10" applyNumberFormat="1" applyFont="1" applyFill="1" applyBorder="1"/>
    <xf numFmtId="10" fontId="27" fillId="5" borderId="4" xfId="72" applyNumberFormat="1" applyFont="1" applyFill="1" applyBorder="1"/>
    <xf numFmtId="10" fontId="27" fillId="5" borderId="4" xfId="72" applyNumberFormat="1" applyFont="1" applyFill="1" applyBorder="1" applyAlignment="1">
      <alignment vertical="center"/>
    </xf>
    <xf numFmtId="10" fontId="27" fillId="8" borderId="4" xfId="72" applyNumberFormat="1" applyFont="1" applyFill="1" applyBorder="1" applyAlignment="1">
      <alignment vertical="center"/>
    </xf>
    <xf numFmtId="164" fontId="28" fillId="0" borderId="4" xfId="73" applyFont="1" applyBorder="1" applyAlignment="1">
      <alignment vertical="top" wrapText="1"/>
    </xf>
    <xf numFmtId="0" fontId="47" fillId="0" borderId="4" xfId="16" applyFont="1" applyBorder="1" applyAlignment="1">
      <alignment vertical="center" wrapText="1"/>
    </xf>
    <xf numFmtId="0" fontId="27" fillId="0" borderId="4" xfId="15" applyFont="1" applyFill="1" applyBorder="1" applyAlignment="1">
      <alignment horizontal="center" vertical="center"/>
    </xf>
    <xf numFmtId="0" fontId="27" fillId="8" borderId="4" xfId="40" applyFont="1" applyFill="1" applyBorder="1" applyAlignment="1" applyProtection="1">
      <alignment horizontal="left"/>
    </xf>
    <xf numFmtId="0" fontId="27" fillId="8" borderId="4" xfId="10" applyFont="1" applyFill="1" applyBorder="1" applyAlignment="1" applyProtection="1">
      <alignment horizontal="center"/>
    </xf>
    <xf numFmtId="164" fontId="27" fillId="0" borderId="4" xfId="0" applyNumberFormat="1" applyFont="1" applyBorder="1"/>
    <xf numFmtId="164" fontId="28" fillId="0" borderId="4" xfId="0" applyNumberFormat="1" applyFont="1" applyBorder="1"/>
    <xf numFmtId="164" fontId="27" fillId="8" borderId="4" xfId="73" applyFont="1" applyFill="1" applyBorder="1" applyAlignment="1" applyProtection="1"/>
    <xf numFmtId="0" fontId="27" fillId="0" borderId="4" xfId="10" applyFont="1" applyBorder="1" applyAlignment="1">
      <alignment horizontal="center" vertical="top" wrapText="1"/>
    </xf>
    <xf numFmtId="0" fontId="28" fillId="4" borderId="4" xfId="10" applyFont="1" applyFill="1" applyBorder="1" applyAlignment="1">
      <alignment horizontal="center"/>
    </xf>
    <xf numFmtId="164" fontId="28" fillId="5" borderId="4" xfId="0" applyNumberFormat="1" applyFont="1" applyFill="1" applyBorder="1" applyAlignment="1" applyProtection="1">
      <alignment horizontal="left"/>
    </xf>
    <xf numFmtId="164" fontId="27" fillId="0" borderId="0" xfId="0" applyNumberFormat="1" applyFont="1" applyAlignment="1"/>
    <xf numFmtId="164" fontId="27" fillId="5" borderId="4" xfId="0" quotePrefix="1" applyNumberFormat="1" applyFont="1" applyFill="1" applyBorder="1" applyAlignment="1">
      <alignment horizontal="center" vertical="top" wrapText="1"/>
    </xf>
    <xf numFmtId="164" fontId="27" fillId="0" borderId="4" xfId="15" applyNumberFormat="1" applyFont="1" applyBorder="1" applyAlignment="1">
      <alignment horizontal="center" vertical="center"/>
    </xf>
    <xf numFmtId="0" fontId="27" fillId="5" borderId="4" xfId="0" applyFont="1" applyFill="1" applyBorder="1" applyAlignment="1" applyProtection="1">
      <alignment horizontal="center"/>
    </xf>
    <xf numFmtId="164" fontId="28" fillId="5" borderId="4" xfId="0" applyNumberFormat="1" applyFont="1" applyFill="1" applyBorder="1" applyAlignment="1" applyProtection="1">
      <alignment horizontal="center"/>
    </xf>
    <xf numFmtId="0" fontId="27" fillId="0" borderId="4" xfId="0" applyFont="1" applyBorder="1" applyAlignment="1">
      <alignment horizontal="center"/>
    </xf>
    <xf numFmtId="164" fontId="28" fillId="0" borderId="4" xfId="15" applyNumberFormat="1" applyFont="1" applyBorder="1" applyAlignment="1">
      <alignment horizontal="center" vertical="center"/>
    </xf>
    <xf numFmtId="0" fontId="27" fillId="5" borderId="4" xfId="0" applyFont="1" applyFill="1" applyBorder="1" applyAlignment="1" applyProtection="1">
      <alignment horizontal="left" vertical="center" wrapText="1"/>
    </xf>
    <xf numFmtId="164" fontId="27" fillId="5" borderId="4" xfId="0" applyNumberFormat="1" applyFont="1" applyFill="1" applyBorder="1" applyAlignment="1" applyProtection="1">
      <alignment horizontal="left"/>
    </xf>
    <xf numFmtId="0" fontId="27" fillId="0" borderId="0" xfId="40" applyFont="1" applyBorder="1" applyAlignment="1">
      <alignment horizontal="center" vertical="center"/>
    </xf>
    <xf numFmtId="2" fontId="27" fillId="0" borderId="4" xfId="40" applyNumberFormat="1" applyFont="1" applyBorder="1" applyAlignment="1">
      <alignment horizontal="center" vertical="center"/>
    </xf>
    <xf numFmtId="2" fontId="27" fillId="0" borderId="4" xfId="27" applyNumberFormat="1" applyFont="1" applyFill="1" applyBorder="1" applyAlignment="1">
      <alignment horizontal="center" vertical="center"/>
    </xf>
    <xf numFmtId="2" fontId="27" fillId="0" borderId="4" xfId="40" applyNumberFormat="1" applyFont="1" applyFill="1" applyBorder="1" applyAlignment="1">
      <alignment horizontal="center" vertical="center"/>
    </xf>
    <xf numFmtId="2" fontId="27" fillId="0" borderId="4" xfId="40" applyNumberFormat="1" applyFont="1" applyFill="1" applyBorder="1" applyAlignment="1">
      <alignment horizontal="center" vertical="center" wrapText="1"/>
    </xf>
    <xf numFmtId="2" fontId="27" fillId="0" borderId="4" xfId="73" applyNumberFormat="1" applyFont="1" applyFill="1" applyBorder="1" applyAlignment="1" applyProtection="1">
      <alignment horizontal="center" vertical="center"/>
    </xf>
    <xf numFmtId="2" fontId="28" fillId="0" borderId="4" xfId="40" applyNumberFormat="1" applyFont="1" applyFill="1" applyBorder="1" applyAlignment="1" applyProtection="1">
      <alignment horizontal="center" vertical="center"/>
    </xf>
    <xf numFmtId="0" fontId="28" fillId="0" borderId="4" xfId="40" applyFont="1" applyFill="1" applyBorder="1" applyAlignment="1">
      <alignment horizontal="center" vertical="center"/>
    </xf>
    <xf numFmtId="0" fontId="28" fillId="0" borderId="0" xfId="40" applyFont="1" applyFill="1" applyBorder="1" applyAlignment="1">
      <alignment horizontal="center" vertical="center"/>
    </xf>
    <xf numFmtId="164" fontId="27" fillId="0" borderId="4" xfId="10" applyNumberFormat="1" applyFont="1" applyBorder="1"/>
    <xf numFmtId="164" fontId="28" fillId="0" borderId="0" xfId="10" applyNumberFormat="1" applyFont="1" applyBorder="1" applyAlignment="1">
      <alignment horizontal="centerContinuous"/>
    </xf>
    <xf numFmtId="10" fontId="27" fillId="0" borderId="4" xfId="40" applyNumberFormat="1" applyFont="1" applyBorder="1"/>
    <xf numFmtId="9" fontId="27" fillId="0" borderId="4" xfId="40" applyNumberFormat="1" applyFont="1" applyBorder="1"/>
    <xf numFmtId="164" fontId="27" fillId="0" borderId="0" xfId="10" applyNumberFormat="1" applyFont="1" applyFill="1" applyBorder="1" applyAlignment="1">
      <alignment horizontal="left" vertical="top"/>
    </xf>
    <xf numFmtId="0" fontId="27" fillId="0" borderId="4" xfId="0" applyFont="1" applyBorder="1" applyAlignment="1">
      <alignment wrapText="1"/>
    </xf>
    <xf numFmtId="164" fontId="32" fillId="0" borderId="4" xfId="40" applyNumberFormat="1" applyFont="1" applyBorder="1" applyAlignment="1">
      <alignment vertical="center"/>
    </xf>
    <xf numFmtId="10" fontId="32" fillId="0" borderId="4" xfId="40" applyNumberFormat="1" applyFont="1" applyBorder="1" applyAlignment="1">
      <alignment vertical="center"/>
    </xf>
    <xf numFmtId="0" fontId="27" fillId="0" borderId="4" xfId="76" applyFont="1" applyBorder="1" applyAlignment="1"/>
    <xf numFmtId="2" fontId="27" fillId="0" borderId="4" xfId="76" applyNumberFormat="1" applyFont="1" applyBorder="1" applyAlignment="1">
      <alignment horizontal="center"/>
    </xf>
    <xf numFmtId="2" fontId="27" fillId="0" borderId="4" xfId="76" applyNumberFormat="1" applyFont="1" applyFill="1" applyBorder="1" applyAlignment="1">
      <alignment horizontal="center" vertical="center"/>
    </xf>
    <xf numFmtId="2" fontId="27" fillId="0" borderId="4" xfId="76" applyNumberFormat="1" applyFont="1" applyFill="1" applyBorder="1" applyAlignment="1">
      <alignment horizontal="center"/>
    </xf>
    <xf numFmtId="0" fontId="27" fillId="0" borderId="4" xfId="76" applyFont="1" applyBorder="1" applyAlignment="1">
      <alignment vertical="center"/>
    </xf>
    <xf numFmtId="2" fontId="27" fillId="0" borderId="4" xfId="76" applyNumberFormat="1" applyFont="1" applyBorder="1" applyAlignment="1">
      <alignment horizontal="center" vertical="center"/>
    </xf>
    <xf numFmtId="2" fontId="28" fillId="0" borderId="4" xfId="76" applyNumberFormat="1" applyFont="1" applyBorder="1" applyAlignment="1">
      <alignment horizontal="center" vertical="center"/>
    </xf>
    <xf numFmtId="0" fontId="32" fillId="0" borderId="0" xfId="40" applyFont="1"/>
    <xf numFmtId="0" fontId="32" fillId="0" borderId="4" xfId="40" applyFont="1" applyBorder="1"/>
    <xf numFmtId="0" fontId="6" fillId="0" borderId="4" xfId="22" applyFont="1" applyBorder="1" applyAlignment="1">
      <alignment vertical="center" wrapText="1"/>
    </xf>
    <xf numFmtId="0" fontId="6" fillId="0" borderId="4" xfId="22" applyFont="1" applyBorder="1" applyAlignment="1">
      <alignment horizontal="center" vertical="center"/>
    </xf>
    <xf numFmtId="0" fontId="6" fillId="0" borderId="6" xfId="22" applyFont="1" applyBorder="1" applyAlignment="1">
      <alignment horizontal="center" vertical="center"/>
    </xf>
    <xf numFmtId="0" fontId="6" fillId="0" borderId="9" xfId="22" applyFont="1" applyBorder="1" applyAlignment="1">
      <alignment horizontal="center" vertical="center"/>
    </xf>
    <xf numFmtId="0" fontId="6" fillId="0" borderId="4" xfId="22" applyFont="1" applyFill="1" applyBorder="1" applyAlignment="1">
      <alignment horizontal="center" vertical="center"/>
    </xf>
    <xf numFmtId="0" fontId="6" fillId="0" borderId="9" xfId="22" applyFont="1" applyFill="1" applyBorder="1" applyAlignment="1">
      <alignment horizontal="center" vertical="center"/>
    </xf>
    <xf numFmtId="0" fontId="6" fillId="0" borderId="8" xfId="22" applyFont="1" applyBorder="1" applyAlignment="1">
      <alignment horizontal="center" vertical="center"/>
    </xf>
    <xf numFmtId="0" fontId="6" fillId="0" borderId="4" xfId="22" applyFont="1" applyBorder="1" applyAlignment="1">
      <alignment vertical="center"/>
    </xf>
    <xf numFmtId="0" fontId="6" fillId="11" borderId="4" xfId="22" applyFont="1" applyFill="1" applyBorder="1" applyAlignment="1">
      <alignment vertical="center"/>
    </xf>
    <xf numFmtId="0" fontId="42" fillId="17" borderId="4" xfId="40" applyFont="1" applyFill="1" applyBorder="1" applyAlignment="1">
      <alignment horizontal="center" vertical="center" wrapText="1"/>
    </xf>
    <xf numFmtId="164" fontId="32" fillId="0" borderId="4" xfId="74" applyFont="1" applyBorder="1" applyAlignment="1"/>
    <xf numFmtId="176" fontId="32" fillId="0" borderId="4" xfId="74" applyNumberFormat="1" applyFont="1" applyBorder="1" applyAlignment="1"/>
    <xf numFmtId="176" fontId="32" fillId="0" borderId="4" xfId="40" applyNumberFormat="1" applyFont="1" applyBorder="1"/>
    <xf numFmtId="176" fontId="32" fillId="0" borderId="4" xfId="74" applyNumberFormat="1" applyFont="1" applyBorder="1"/>
    <xf numFmtId="176" fontId="32" fillId="0" borderId="4" xfId="75" applyNumberFormat="1" applyFont="1" applyBorder="1" applyAlignment="1"/>
    <xf numFmtId="164" fontId="42" fillId="0" borderId="4" xfId="74" applyFont="1" applyBorder="1" applyAlignment="1"/>
    <xf numFmtId="176" fontId="42" fillId="0" borderId="4" xfId="74" applyNumberFormat="1" applyFont="1" applyBorder="1" applyAlignment="1"/>
    <xf numFmtId="0" fontId="42" fillId="4" borderId="4" xfId="27" applyFont="1" applyFill="1" applyBorder="1" applyAlignment="1">
      <alignment horizontal="center" vertical="center" wrapText="1"/>
    </xf>
    <xf numFmtId="0" fontId="32" fillId="0" borderId="4" xfId="27" applyFont="1" applyBorder="1" applyAlignment="1">
      <alignment horizontal="center" vertical="center"/>
    </xf>
    <xf numFmtId="177" fontId="42" fillId="0" borderId="4" xfId="40" applyNumberFormat="1" applyFont="1" applyBorder="1"/>
    <xf numFmtId="164" fontId="42" fillId="0" borderId="4" xfId="40" applyNumberFormat="1" applyFont="1" applyBorder="1"/>
    <xf numFmtId="10" fontId="32" fillId="0" borderId="4" xfId="30" applyNumberFormat="1" applyFont="1" applyBorder="1"/>
    <xf numFmtId="164" fontId="32" fillId="0" borderId="4" xfId="40" applyNumberFormat="1" applyFont="1" applyBorder="1"/>
    <xf numFmtId="0" fontId="28" fillId="0" borderId="4" xfId="0" applyFont="1" applyBorder="1" applyAlignment="1">
      <alignment horizontal="center" vertical="center"/>
    </xf>
    <xf numFmtId="0" fontId="28" fillId="0" borderId="4" xfId="40" applyFont="1" applyFill="1" applyBorder="1" applyAlignment="1" applyProtection="1">
      <alignment horizontal="left" vertical="center"/>
    </xf>
    <xf numFmtId="0" fontId="32" fillId="0" borderId="0" xfId="0" applyFont="1"/>
    <xf numFmtId="164" fontId="28" fillId="0" borderId="0" xfId="10" applyNumberFormat="1" applyFont="1" applyBorder="1" applyAlignment="1">
      <alignment horizontal="left"/>
    </xf>
    <xf numFmtId="0" fontId="32" fillId="0" borderId="0" xfId="0" applyFont="1" applyAlignment="1">
      <alignment horizontal="center"/>
    </xf>
    <xf numFmtId="10" fontId="32" fillId="0" borderId="0" xfId="0" applyNumberFormat="1" applyFont="1"/>
    <xf numFmtId="0" fontId="32" fillId="0" borderId="4" xfId="0" applyFont="1" applyBorder="1"/>
    <xf numFmtId="14" fontId="32" fillId="0" borderId="4" xfId="0" applyNumberFormat="1" applyFont="1" applyBorder="1"/>
    <xf numFmtId="10" fontId="32" fillId="0" borderId="4" xfId="0" applyNumberFormat="1" applyFont="1" applyBorder="1"/>
    <xf numFmtId="14" fontId="42" fillId="0" borderId="4" xfId="0" applyNumberFormat="1" applyFont="1" applyBorder="1"/>
    <xf numFmtId="0" fontId="42" fillId="0" borderId="4" xfId="0" applyFont="1" applyBorder="1"/>
    <xf numFmtId="10" fontId="42" fillId="0" borderId="4" xfId="0" applyNumberFormat="1" applyFont="1" applyBorder="1"/>
    <xf numFmtId="10" fontId="27" fillId="5" borderId="4" xfId="10" applyNumberFormat="1" applyFont="1" applyFill="1" applyBorder="1" applyAlignment="1" applyProtection="1">
      <alignment horizontal="center"/>
    </xf>
    <xf numFmtId="10" fontId="27" fillId="0" borderId="4" xfId="15" applyNumberFormat="1" applyFont="1" applyBorder="1" applyAlignment="1">
      <alignment horizontal="center" vertical="center"/>
    </xf>
    <xf numFmtId="164" fontId="27" fillId="5" borderId="4" xfId="10" applyNumberFormat="1" applyFont="1" applyFill="1" applyBorder="1" applyAlignment="1" applyProtection="1">
      <alignment horizontal="left"/>
    </xf>
    <xf numFmtId="164" fontId="28" fillId="5" borderId="4" xfId="10" applyNumberFormat="1" applyFont="1" applyFill="1" applyBorder="1" applyAlignment="1" applyProtection="1">
      <alignment horizontal="left"/>
    </xf>
    <xf numFmtId="164" fontId="27" fillId="0" borderId="4" xfId="27" applyNumberFormat="1" applyFont="1" applyBorder="1">
      <alignment vertical="center"/>
    </xf>
    <xf numFmtId="9" fontId="27" fillId="0" borderId="0" xfId="14" applyNumberFormat="1" applyFont="1">
      <alignment vertical="center"/>
    </xf>
    <xf numFmtId="0" fontId="9" fillId="0" borderId="0" xfId="76"/>
    <xf numFmtId="164" fontId="26" fillId="0" borderId="4" xfId="74" applyFont="1" applyFill="1" applyBorder="1" applyAlignment="1">
      <alignment horizontal="center" vertical="center" wrapText="1"/>
    </xf>
    <xf numFmtId="0" fontId="32" fillId="0" borderId="0" xfId="76" applyFont="1"/>
    <xf numFmtId="0" fontId="42" fillId="0" borderId="0" xfId="76" applyFont="1" applyAlignment="1"/>
    <xf numFmtId="0" fontId="32" fillId="0" borderId="4" xfId="76" applyFont="1" applyBorder="1" applyAlignment="1">
      <alignment vertical="center" wrapText="1"/>
    </xf>
    <xf numFmtId="14" fontId="32" fillId="0" borderId="4" xfId="76" applyNumberFormat="1" applyFont="1" applyBorder="1" applyAlignment="1">
      <alignment vertical="center"/>
    </xf>
    <xf numFmtId="164" fontId="6" fillId="0" borderId="4" xfId="74" applyFont="1" applyBorder="1" applyAlignment="1">
      <alignment vertical="center" wrapText="1"/>
    </xf>
    <xf numFmtId="164" fontId="32" fillId="0" borderId="4" xfId="74" applyFont="1" applyBorder="1" applyAlignment="1">
      <alignment vertical="center"/>
    </xf>
    <xf numFmtId="0" fontId="32" fillId="0" borderId="4" xfId="76" applyFont="1" applyBorder="1"/>
    <xf numFmtId="14" fontId="32" fillId="0" borderId="4" xfId="76" applyNumberFormat="1" applyFont="1" applyBorder="1"/>
    <xf numFmtId="164" fontId="6" fillId="0" borderId="4" xfId="74" applyFont="1" applyBorder="1" applyAlignment="1">
      <alignment wrapText="1"/>
    </xf>
    <xf numFmtId="10" fontId="32" fillId="0" borderId="4" xfId="40" applyNumberFormat="1" applyFont="1" applyBorder="1"/>
    <xf numFmtId="164" fontId="32" fillId="0" borderId="4" xfId="74" applyFont="1" applyBorder="1"/>
    <xf numFmtId="164" fontId="32" fillId="0" borderId="4" xfId="76" applyNumberFormat="1" applyFont="1" applyBorder="1"/>
    <xf numFmtId="10" fontId="32" fillId="16" borderId="4" xfId="76" applyNumberFormat="1" applyFont="1" applyFill="1" applyBorder="1"/>
    <xf numFmtId="164" fontId="42" fillId="0" borderId="4" xfId="76" applyNumberFormat="1" applyFont="1" applyBorder="1"/>
    <xf numFmtId="164" fontId="27" fillId="0" borderId="4" xfId="0" applyNumberFormat="1" applyFont="1" applyBorder="1" applyAlignment="1">
      <alignment horizontal="right" vertical="center" wrapText="1"/>
    </xf>
    <xf numFmtId="164" fontId="27" fillId="0" borderId="4" xfId="17" applyNumberFormat="1" applyFont="1" applyFill="1" applyBorder="1" applyAlignment="1">
      <alignment horizontal="right" vertical="center"/>
    </xf>
    <xf numFmtId="164" fontId="27" fillId="8" borderId="4" xfId="0" applyNumberFormat="1" applyFont="1" applyFill="1" applyBorder="1" applyAlignment="1" applyProtection="1">
      <alignment horizontal="right" vertical="center"/>
    </xf>
    <xf numFmtId="0" fontId="27" fillId="8" borderId="4" xfId="0" applyFont="1" applyFill="1" applyBorder="1" applyAlignment="1">
      <alignment horizontal="right" vertical="center" wrapText="1"/>
    </xf>
    <xf numFmtId="0" fontId="27" fillId="0" borderId="4" xfId="0" applyFont="1" applyBorder="1" applyAlignment="1">
      <alignment horizontal="right" vertical="center"/>
    </xf>
    <xf numFmtId="10" fontId="27" fillId="0" borderId="4" xfId="72" applyNumberFormat="1" applyFont="1" applyBorder="1" applyAlignment="1">
      <alignment horizontal="right" vertical="center" wrapText="1"/>
    </xf>
    <xf numFmtId="164" fontId="27" fillId="0" borderId="4" xfId="73" applyFont="1" applyBorder="1" applyAlignment="1">
      <alignment horizontal="right" vertical="center" wrapText="1"/>
    </xf>
    <xf numFmtId="0" fontId="27" fillId="0" borderId="4" xfId="17" applyFont="1" applyFill="1" applyBorder="1" applyAlignment="1">
      <alignment horizontal="right" vertical="center"/>
    </xf>
    <xf numFmtId="0" fontId="27" fillId="8" borderId="4" xfId="0" applyFont="1" applyFill="1" applyBorder="1" applyAlignment="1" applyProtection="1">
      <alignment horizontal="right" vertical="center"/>
    </xf>
    <xf numFmtId="164" fontId="27" fillId="8" borderId="4" xfId="0" applyNumberFormat="1" applyFont="1" applyFill="1" applyBorder="1" applyAlignment="1">
      <alignment horizontal="right" vertical="center" wrapText="1"/>
    </xf>
    <xf numFmtId="164" fontId="6" fillId="0" borderId="4" xfId="22" applyNumberFormat="1" applyFont="1" applyBorder="1" applyAlignment="1">
      <alignment horizontal="center" vertical="center"/>
    </xf>
    <xf numFmtId="164" fontId="32" fillId="0" borderId="0" xfId="73" applyFont="1"/>
    <xf numFmtId="43" fontId="28" fillId="0" borderId="4" xfId="23" applyFont="1" applyBorder="1" applyAlignment="1">
      <alignment vertical="center"/>
    </xf>
    <xf numFmtId="164" fontId="48" fillId="0" borderId="4" xfId="27" applyNumberFormat="1" applyFont="1" applyBorder="1">
      <alignment vertical="center"/>
    </xf>
    <xf numFmtId="164" fontId="26" fillId="0" borderId="4" xfId="73" applyFont="1" applyBorder="1" applyAlignment="1">
      <alignment horizontal="center" vertical="center"/>
    </xf>
    <xf numFmtId="164" fontId="49" fillId="0" borderId="4" xfId="27" applyNumberFormat="1" applyFont="1" applyBorder="1">
      <alignment vertical="center"/>
    </xf>
    <xf numFmtId="164" fontId="26" fillId="0" borderId="4" xfId="22" applyNumberFormat="1" applyFont="1" applyBorder="1" applyAlignment="1">
      <alignment horizontal="center" vertical="center"/>
    </xf>
    <xf numFmtId="43" fontId="6" fillId="0" borderId="4" xfId="22" applyNumberFormat="1" applyFont="1" applyFill="1" applyBorder="1" applyAlignment="1">
      <alignment horizontal="center" vertical="center"/>
    </xf>
    <xf numFmtId="164" fontId="6" fillId="0" borderId="4" xfId="22" applyNumberFormat="1" applyFont="1" applyFill="1" applyBorder="1" applyAlignment="1">
      <alignment horizontal="center" vertical="center"/>
    </xf>
    <xf numFmtId="10" fontId="26" fillId="0" borderId="4" xfId="72" applyNumberFormat="1" applyFont="1" applyFill="1" applyBorder="1" applyAlignment="1">
      <alignment horizontal="center" vertical="center"/>
    </xf>
    <xf numFmtId="0" fontId="27" fillId="0" borderId="0" xfId="76" applyFont="1"/>
    <xf numFmtId="0" fontId="28" fillId="0" borderId="22" xfId="76" applyFont="1" applyBorder="1"/>
    <xf numFmtId="164" fontId="28" fillId="0" borderId="22" xfId="74" applyFont="1" applyBorder="1"/>
    <xf numFmtId="0" fontId="27" fillId="0" borderId="22" xfId="76" applyFont="1" applyBorder="1"/>
    <xf numFmtId="164" fontId="27" fillId="0" borderId="22" xfId="74" applyFont="1" applyBorder="1"/>
    <xf numFmtId="10" fontId="28" fillId="0" borderId="22" xfId="74" applyNumberFormat="1" applyFont="1" applyBorder="1"/>
    <xf numFmtId="0" fontId="28" fillId="14" borderId="22" xfId="76" applyFont="1" applyFill="1" applyBorder="1" applyAlignment="1">
      <alignment horizontal="center" vertical="center" wrapText="1"/>
    </xf>
    <xf numFmtId="9" fontId="26" fillId="0" borderId="4" xfId="22" applyNumberFormat="1" applyFont="1" applyFill="1" applyBorder="1" applyAlignment="1">
      <alignment horizontal="center" vertical="center"/>
    </xf>
    <xf numFmtId="0" fontId="27" fillId="0" borderId="22" xfId="76" applyFont="1" applyBorder="1" applyAlignment="1"/>
    <xf numFmtId="2" fontId="27" fillId="0" borderId="22" xfId="76" applyNumberFormat="1" applyFont="1" applyBorder="1" applyAlignment="1">
      <alignment horizontal="center"/>
    </xf>
    <xf numFmtId="10" fontId="27" fillId="0" borderId="22" xfId="76" applyNumberFormat="1" applyFont="1" applyBorder="1" applyAlignment="1">
      <alignment horizontal="center"/>
    </xf>
    <xf numFmtId="0" fontId="9" fillId="0" borderId="0" xfId="76" applyFont="1"/>
    <xf numFmtId="164" fontId="32" fillId="0" borderId="0" xfId="76" applyNumberFormat="1" applyFont="1"/>
    <xf numFmtId="164" fontId="28" fillId="0" borderId="0" xfId="10" applyNumberFormat="1" applyFont="1" applyBorder="1" applyAlignment="1"/>
    <xf numFmtId="0" fontId="27" fillId="5" borderId="4" xfId="40" applyFont="1" applyFill="1" applyBorder="1" applyAlignment="1" applyProtection="1">
      <alignment horizontal="left"/>
    </xf>
    <xf numFmtId="164" fontId="32" fillId="0" borderId="4" xfId="0" applyNumberFormat="1" applyFont="1" applyBorder="1"/>
    <xf numFmtId="164" fontId="47" fillId="0" borderId="4" xfId="73" applyFont="1" applyBorder="1" applyAlignment="1">
      <alignment vertical="center" wrapText="1"/>
    </xf>
    <xf numFmtId="164" fontId="27" fillId="0" borderId="0" xfId="15" applyNumberFormat="1" applyFont="1">
      <alignment vertical="center"/>
    </xf>
    <xf numFmtId="164" fontId="27" fillId="0" borderId="4" xfId="74" applyFont="1" applyFill="1" applyBorder="1" applyAlignment="1" applyProtection="1">
      <alignment horizontal="center" vertical="center"/>
    </xf>
    <xf numFmtId="10" fontId="27" fillId="0" borderId="4" xfId="30" applyNumberFormat="1" applyFont="1" applyFill="1" applyBorder="1" applyAlignment="1" applyProtection="1">
      <alignment horizontal="center" vertical="center"/>
    </xf>
    <xf numFmtId="164" fontId="32" fillId="0" borderId="4" xfId="73" applyFont="1" applyBorder="1"/>
    <xf numFmtId="0" fontId="32" fillId="0" borderId="4" xfId="0" applyFont="1" applyBorder="1" applyAlignment="1">
      <alignment wrapText="1"/>
    </xf>
    <xf numFmtId="0" fontId="27" fillId="0" borderId="4" xfId="76" applyFont="1" applyBorder="1"/>
    <xf numFmtId="0" fontId="28" fillId="0" borderId="4" xfId="76" applyFont="1" applyBorder="1" applyAlignment="1">
      <alignment horizontal="center"/>
    </xf>
    <xf numFmtId="0" fontId="28" fillId="0" borderId="4" xfId="76" applyFont="1" applyBorder="1"/>
    <xf numFmtId="164" fontId="28" fillId="0" borderId="4" xfId="76" applyNumberFormat="1" applyFont="1" applyBorder="1"/>
    <xf numFmtId="164" fontId="47" fillId="0" borderId="4" xfId="74" applyFont="1" applyBorder="1" applyAlignment="1">
      <alignment vertical="center" wrapText="1"/>
    </xf>
    <xf numFmtId="164" fontId="28" fillId="0" borderId="22" xfId="74" applyFont="1" applyBorder="1" applyAlignment="1">
      <alignment horizontal="center"/>
    </xf>
    <xf numFmtId="164" fontId="27" fillId="0" borderId="22" xfId="74" applyFont="1" applyBorder="1" applyAlignment="1">
      <alignment horizontal="center"/>
    </xf>
    <xf numFmtId="10" fontId="28" fillId="0" borderId="22" xfId="30" applyNumberFormat="1" applyFont="1" applyBorder="1" applyAlignment="1">
      <alignment horizontal="center"/>
    </xf>
    <xf numFmtId="164" fontId="27" fillId="0" borderId="22" xfId="73" applyFont="1" applyBorder="1"/>
    <xf numFmtId="10" fontId="27" fillId="0" borderId="22" xfId="72" applyNumberFormat="1" applyFont="1" applyBorder="1"/>
    <xf numFmtId="164" fontId="42" fillId="0" borderId="4" xfId="73" applyFont="1" applyBorder="1"/>
    <xf numFmtId="0" fontId="42" fillId="14" borderId="4" xfId="0" applyFont="1" applyFill="1" applyBorder="1"/>
    <xf numFmtId="0" fontId="42" fillId="0" borderId="0" xfId="0" applyFont="1" applyAlignment="1"/>
    <xf numFmtId="0" fontId="43" fillId="0" borderId="4" xfId="16" applyFont="1" applyBorder="1" applyAlignment="1">
      <alignment vertical="center" wrapText="1"/>
    </xf>
    <xf numFmtId="164" fontId="42" fillId="0" borderId="4" xfId="0" applyNumberFormat="1" applyFont="1" applyBorder="1"/>
    <xf numFmtId="10" fontId="32" fillId="0" borderId="4" xfId="73" applyNumberFormat="1" applyFont="1" applyBorder="1"/>
    <xf numFmtId="0" fontId="28" fillId="4" borderId="4" xfId="27" applyFont="1" applyFill="1" applyBorder="1" applyAlignment="1">
      <alignment horizontal="center" vertical="center" wrapText="1"/>
    </xf>
    <xf numFmtId="0" fontId="28" fillId="4" borderId="4" xfId="15" applyFont="1" applyFill="1" applyBorder="1" applyAlignment="1">
      <alignment horizontal="center" vertical="center" wrapText="1"/>
    </xf>
    <xf numFmtId="0" fontId="28" fillId="4" borderId="8" xfId="27" applyFont="1" applyFill="1" applyBorder="1" applyAlignment="1">
      <alignment horizontal="center" vertical="center" wrapText="1"/>
    </xf>
    <xf numFmtId="164" fontId="27" fillId="16" borderId="4" xfId="73" applyFont="1" applyFill="1" applyBorder="1"/>
    <xf numFmtId="164" fontId="27" fillId="0" borderId="4" xfId="0" applyNumberFormat="1" applyFont="1" applyFill="1" applyBorder="1" applyAlignment="1" applyProtection="1">
      <alignment horizontal="left"/>
    </xf>
    <xf numFmtId="164" fontId="27" fillId="0" borderId="4" xfId="15" applyNumberFormat="1" applyFont="1" applyFill="1" applyBorder="1">
      <alignment vertical="center"/>
    </xf>
    <xf numFmtId="164" fontId="27" fillId="5" borderId="4" xfId="40" applyNumberFormat="1" applyFont="1" applyFill="1" applyBorder="1" applyAlignment="1" applyProtection="1">
      <alignment horizontal="left"/>
    </xf>
    <xf numFmtId="164" fontId="53" fillId="0" borderId="4" xfId="22" applyNumberFormat="1" applyFont="1" applyBorder="1" applyAlignment="1">
      <alignment horizontal="center" vertical="center"/>
    </xf>
    <xf numFmtId="43" fontId="10" fillId="0" borderId="4" xfId="23" applyFont="1" applyBorder="1" applyAlignment="1">
      <alignment vertical="center"/>
    </xf>
    <xf numFmtId="43" fontId="27" fillId="0" borderId="4" xfId="23" applyFont="1" applyFill="1" applyBorder="1" applyAlignment="1">
      <alignment vertical="center"/>
    </xf>
    <xf numFmtId="0" fontId="28" fillId="4" borderId="4" xfId="27" applyFont="1" applyFill="1" applyBorder="1" applyAlignment="1">
      <alignment horizontal="center" vertical="center" wrapText="1"/>
    </xf>
    <xf numFmtId="0" fontId="32" fillId="0" borderId="22" xfId="0" applyFont="1" applyBorder="1" applyAlignment="1">
      <alignment horizontal="center"/>
    </xf>
    <xf numFmtId="0" fontId="32" fillId="0" borderId="22" xfId="0" applyFont="1" applyBorder="1"/>
    <xf numFmtId="164" fontId="42" fillId="0" borderId="4" xfId="74" applyFont="1" applyBorder="1" applyAlignment="1">
      <alignment wrapText="1"/>
    </xf>
    <xf numFmtId="3" fontId="32" fillId="0" borderId="4" xfId="40" applyNumberFormat="1" applyFont="1" applyBorder="1"/>
    <xf numFmtId="176" fontId="42" fillId="0" borderId="4" xfId="74" applyNumberFormat="1" applyFont="1" applyBorder="1" applyAlignment="1">
      <alignment vertical="top"/>
    </xf>
    <xf numFmtId="0" fontId="42" fillId="0" borderId="0" xfId="0" applyFont="1"/>
    <xf numFmtId="0" fontId="42" fillId="9" borderId="4" xfId="0" applyFont="1" applyFill="1" applyBorder="1"/>
    <xf numFmtId="164" fontId="42" fillId="0" borderId="0" xfId="73" applyFont="1" applyBorder="1"/>
    <xf numFmtId="164" fontId="42" fillId="0" borderId="0" xfId="0" applyNumberFormat="1" applyFont="1"/>
    <xf numFmtId="164" fontId="32" fillId="0" borderId="0" xfId="0" applyNumberFormat="1" applyFont="1"/>
    <xf numFmtId="0" fontId="27" fillId="0" borderId="4" xfId="27" applyFont="1" applyBorder="1" applyAlignment="1">
      <alignment vertical="center" wrapText="1"/>
    </xf>
    <xf numFmtId="164" fontId="27" fillId="0" borderId="0" xfId="73" applyFont="1" applyBorder="1"/>
    <xf numFmtId="9" fontId="27" fillId="0" borderId="4" xfId="0" applyNumberFormat="1" applyFont="1" applyBorder="1"/>
    <xf numFmtId="2" fontId="32" fillId="0" borderId="4" xfId="0" applyNumberFormat="1" applyFont="1" applyBorder="1"/>
    <xf numFmtId="164" fontId="28" fillId="8" borderId="4" xfId="73" applyFont="1" applyFill="1" applyBorder="1" applyAlignment="1">
      <alignment vertical="center"/>
    </xf>
    <xf numFmtId="164" fontId="32" fillId="0" borderId="8" xfId="73" applyFont="1" applyBorder="1"/>
    <xf numFmtId="9" fontId="27" fillId="0" borderId="4" xfId="72" applyFont="1" applyBorder="1" applyAlignment="1">
      <alignment horizontal="center" vertical="center"/>
    </xf>
    <xf numFmtId="164" fontId="9" fillId="0" borderId="4" xfId="74" applyFont="1" applyFill="1" applyBorder="1"/>
    <xf numFmtId="164" fontId="28" fillId="0" borderId="4" xfId="10" applyNumberFormat="1" applyFont="1" applyFill="1" applyBorder="1" applyAlignment="1">
      <alignment horizontal="left" vertical="top"/>
    </xf>
    <xf numFmtId="164" fontId="27" fillId="0" borderId="0" xfId="15" applyNumberFormat="1" applyFont="1" applyAlignment="1">
      <alignment vertical="center" wrapText="1"/>
    </xf>
    <xf numFmtId="0" fontId="27" fillId="0" borderId="4" xfId="0" applyFont="1" applyBorder="1"/>
    <xf numFmtId="164" fontId="27" fillId="0" borderId="4" xfId="0" applyNumberFormat="1" applyFont="1" applyBorder="1" applyAlignment="1">
      <alignment horizontal="center" vertical="center"/>
    </xf>
    <xf numFmtId="0" fontId="28" fillId="17" borderId="4" xfId="27" applyFont="1" applyFill="1" applyBorder="1" applyAlignment="1">
      <alignment horizontal="center" vertical="center" wrapText="1"/>
    </xf>
    <xf numFmtId="0" fontId="32" fillId="0" borderId="0" xfId="40" applyFont="1" applyAlignment="1">
      <alignment wrapText="1"/>
    </xf>
    <xf numFmtId="0" fontId="32" fillId="5" borderId="4" xfId="40" applyFont="1" applyFill="1" applyBorder="1" applyAlignment="1" applyProtection="1">
      <alignment horizontal="left" vertical="center" wrapText="1"/>
    </xf>
    <xf numFmtId="0" fontId="42" fillId="5" borderId="4" xfId="40" applyFont="1" applyFill="1" applyBorder="1" applyAlignment="1" applyProtection="1">
      <alignment horizontal="left" vertical="center" wrapText="1"/>
    </xf>
    <xf numFmtId="0" fontId="42" fillId="17" borderId="4" xfId="0" applyFont="1" applyFill="1" applyBorder="1" applyAlignment="1">
      <alignment horizontal="center"/>
    </xf>
    <xf numFmtId="0" fontId="28" fillId="17" borderId="4" xfId="0" applyFont="1" applyFill="1" applyBorder="1" applyAlignment="1">
      <alignment horizontal="center" vertical="center" wrapText="1"/>
    </xf>
    <xf numFmtId="0" fontId="28" fillId="17" borderId="22" xfId="76" applyFont="1" applyFill="1" applyBorder="1" applyAlignment="1">
      <alignment horizontal="center" vertical="center"/>
    </xf>
    <xf numFmtId="0" fontId="28" fillId="17" borderId="22" xfId="76" applyFont="1" applyFill="1" applyBorder="1" applyAlignment="1">
      <alignment horizontal="center" vertical="center" wrapText="1"/>
    </xf>
    <xf numFmtId="0" fontId="28" fillId="17" borderId="4" xfId="76" applyFont="1" applyFill="1" applyBorder="1" applyAlignment="1">
      <alignment horizontal="center" vertical="center"/>
    </xf>
    <xf numFmtId="0" fontId="28" fillId="17" borderId="4" xfId="76" applyFont="1" applyFill="1" applyBorder="1" applyAlignment="1">
      <alignment horizontal="center" vertical="center" wrapText="1"/>
    </xf>
    <xf numFmtId="164" fontId="28" fillId="0" borderId="4" xfId="74" applyFont="1" applyBorder="1"/>
    <xf numFmtId="164" fontId="27" fillId="0" borderId="4" xfId="74" applyFont="1" applyBorder="1"/>
    <xf numFmtId="10" fontId="28" fillId="0" borderId="4" xfId="30" applyNumberFormat="1" applyFont="1" applyBorder="1"/>
    <xf numFmtId="10" fontId="28" fillId="0" borderId="4" xfId="74" applyNumberFormat="1" applyFont="1" applyBorder="1"/>
    <xf numFmtId="0" fontId="42" fillId="17" borderId="4" xfId="0" applyFont="1" applyFill="1" applyBorder="1"/>
    <xf numFmtId="0" fontId="28" fillId="17" borderId="25" xfId="76" applyFont="1" applyFill="1" applyBorder="1" applyAlignment="1">
      <alignment horizontal="center" vertical="center"/>
    </xf>
    <xf numFmtId="0" fontId="28" fillId="17" borderId="4" xfId="0" applyFont="1" applyFill="1" applyBorder="1" applyAlignment="1">
      <alignment horizontal="center" vertical="center"/>
    </xf>
    <xf numFmtId="164" fontId="32" fillId="0" borderId="4" xfId="0" applyNumberFormat="1" applyFont="1" applyFill="1" applyBorder="1"/>
    <xf numFmtId="164" fontId="33" fillId="0" borderId="4" xfId="73" applyFont="1" applyBorder="1"/>
    <xf numFmtId="164" fontId="33" fillId="0" borderId="4" xfId="73" applyFont="1" applyFill="1" applyBorder="1"/>
    <xf numFmtId="164" fontId="33" fillId="0" borderId="0" xfId="73" applyFont="1"/>
    <xf numFmtId="164" fontId="34" fillId="12" borderId="4" xfId="73" applyFont="1" applyFill="1" applyBorder="1"/>
    <xf numFmtId="164" fontId="33" fillId="15" borderId="4" xfId="73" applyFont="1" applyFill="1" applyBorder="1"/>
    <xf numFmtId="164" fontId="33" fillId="8" borderId="4" xfId="73" applyFont="1" applyFill="1" applyBorder="1"/>
    <xf numFmtId="10" fontId="33" fillId="0" borderId="4" xfId="72" applyNumberFormat="1" applyFont="1" applyFill="1" applyBorder="1" applyAlignment="1">
      <alignment vertical="center"/>
    </xf>
    <xf numFmtId="0" fontId="33" fillId="0" borderId="0" xfId="78" applyFont="1"/>
    <xf numFmtId="0" fontId="34" fillId="13" borderId="0" xfId="78" applyFont="1" applyFill="1" applyAlignment="1">
      <alignment horizontal="left"/>
    </xf>
    <xf numFmtId="176" fontId="33" fillId="0" borderId="0" xfId="74" applyNumberFormat="1" applyFont="1"/>
    <xf numFmtId="0" fontId="34" fillId="0" borderId="0" xfId="78" applyFont="1"/>
    <xf numFmtId="0" fontId="34" fillId="14" borderId="4" xfId="78" applyFont="1" applyFill="1" applyBorder="1" applyAlignment="1">
      <alignment vertical="center"/>
    </xf>
    <xf numFmtId="0" fontId="34" fillId="14" borderId="4" xfId="78" applyFont="1" applyFill="1" applyBorder="1" applyAlignment="1">
      <alignment horizontal="center" vertical="center" wrapText="1"/>
    </xf>
    <xf numFmtId="0" fontId="34" fillId="14" borderId="4" xfId="78" applyFont="1" applyFill="1" applyBorder="1" applyAlignment="1">
      <alignment horizontal="center" vertical="center"/>
    </xf>
    <xf numFmtId="0" fontId="33" fillId="0" borderId="4" xfId="78" applyFont="1" applyBorder="1"/>
    <xf numFmtId="0" fontId="33" fillId="0" borderId="4" xfId="78" applyFont="1" applyBorder="1" applyAlignment="1">
      <alignment horizontal="left"/>
    </xf>
    <xf numFmtId="176" fontId="33" fillId="0" borderId="4" xfId="74" applyNumberFormat="1" applyFont="1" applyFill="1" applyBorder="1"/>
    <xf numFmtId="0" fontId="34" fillId="12" borderId="4" xfId="78" applyFont="1" applyFill="1" applyBorder="1"/>
    <xf numFmtId="0" fontId="34" fillId="12" borderId="4" xfId="78" applyFont="1" applyFill="1" applyBorder="1" applyAlignment="1">
      <alignment horizontal="left"/>
    </xf>
    <xf numFmtId="176" fontId="34" fillId="12" borderId="4" xfId="74" applyNumberFormat="1" applyFont="1" applyFill="1" applyBorder="1"/>
    <xf numFmtId="0" fontId="33" fillId="0" borderId="0" xfId="78" applyFont="1" applyAlignment="1">
      <alignment horizontal="left"/>
    </xf>
    <xf numFmtId="0" fontId="34" fillId="14" borderId="4" xfId="78" applyFont="1" applyFill="1" applyBorder="1" applyAlignment="1">
      <alignment horizontal="left" vertical="center"/>
    </xf>
    <xf numFmtId="10" fontId="33" fillId="0" borderId="4" xfId="78" applyNumberFormat="1" applyFont="1" applyBorder="1"/>
    <xf numFmtId="43" fontId="33" fillId="0" borderId="4" xfId="79" applyFont="1" applyFill="1" applyBorder="1" applyAlignment="1">
      <alignment vertical="center"/>
    </xf>
    <xf numFmtId="0" fontId="33" fillId="0" borderId="4" xfId="78" applyFont="1" applyFill="1" applyBorder="1"/>
    <xf numFmtId="10" fontId="33" fillId="0" borderId="4" xfId="78" applyNumberFormat="1" applyFont="1" applyFill="1" applyBorder="1"/>
    <xf numFmtId="164" fontId="33" fillId="0" borderId="0" xfId="78" applyNumberFormat="1" applyFont="1"/>
    <xf numFmtId="164" fontId="33" fillId="11" borderId="4" xfId="73" applyFont="1" applyFill="1" applyBorder="1"/>
    <xf numFmtId="179" fontId="33" fillId="0" borderId="4" xfId="73" applyNumberFormat="1" applyFont="1" applyBorder="1"/>
    <xf numFmtId="179" fontId="33" fillId="0" borderId="4" xfId="73" applyNumberFormat="1" applyFont="1" applyFill="1" applyBorder="1"/>
    <xf numFmtId="179" fontId="34" fillId="12" borderId="4" xfId="73" applyNumberFormat="1" applyFont="1" applyFill="1" applyBorder="1"/>
    <xf numFmtId="179" fontId="33" fillId="15" borderId="4" xfId="73" applyNumberFormat="1" applyFont="1" applyFill="1" applyBorder="1"/>
    <xf numFmtId="180" fontId="33" fillId="15" borderId="4" xfId="73" applyNumberFormat="1" applyFont="1" applyFill="1" applyBorder="1"/>
    <xf numFmtId="180" fontId="33" fillId="8" borderId="4" xfId="73" applyNumberFormat="1" applyFont="1" applyFill="1" applyBorder="1"/>
    <xf numFmtId="180" fontId="33" fillId="11" borderId="4" xfId="69" applyNumberFormat="1" applyFont="1" applyFill="1" applyBorder="1"/>
    <xf numFmtId="180" fontId="33" fillId="11" borderId="4" xfId="73" applyNumberFormat="1" applyFont="1" applyFill="1" applyBorder="1"/>
    <xf numFmtId="180" fontId="34" fillId="12" borderId="4" xfId="73" applyNumberFormat="1" applyFont="1" applyFill="1" applyBorder="1"/>
    <xf numFmtId="179" fontId="33" fillId="0" borderId="0" xfId="73" applyNumberFormat="1" applyFont="1"/>
    <xf numFmtId="164" fontId="28" fillId="0" borderId="4" xfId="27" applyNumberFormat="1" applyFont="1" applyBorder="1" applyAlignment="1">
      <alignment horizontal="center" vertical="center"/>
    </xf>
    <xf numFmtId="0" fontId="47" fillId="0" borderId="4" xfId="0" applyFont="1" applyFill="1" applyBorder="1"/>
    <xf numFmtId="0" fontId="47" fillId="0" borderId="4" xfId="0" applyFont="1" applyBorder="1"/>
    <xf numFmtId="14" fontId="27" fillId="0" borderId="4" xfId="27" applyNumberFormat="1" applyFont="1" applyBorder="1" applyAlignment="1">
      <alignment horizontal="center" vertical="center"/>
    </xf>
    <xf numFmtId="0" fontId="28" fillId="0" borderId="0" xfId="27" applyFont="1">
      <alignment vertical="center"/>
    </xf>
    <xf numFmtId="0" fontId="27" fillId="0" borderId="0" xfId="27" applyFont="1">
      <alignment vertical="center"/>
    </xf>
    <xf numFmtId="0" fontId="28" fillId="0" borderId="4" xfId="27" applyFont="1" applyBorder="1">
      <alignment vertical="center"/>
    </xf>
    <xf numFmtId="0" fontId="27" fillId="0" borderId="4" xfId="27" applyFont="1" applyBorder="1" applyAlignment="1">
      <alignment horizontal="center" vertical="center"/>
    </xf>
    <xf numFmtId="0" fontId="27" fillId="0" borderId="4" xfId="27" applyFont="1" applyBorder="1">
      <alignment vertical="center"/>
    </xf>
    <xf numFmtId="3" fontId="27" fillId="0" borderId="4" xfId="27" applyNumberFormat="1" applyFont="1" applyBorder="1" applyAlignment="1">
      <alignment horizontal="center" vertical="center"/>
    </xf>
    <xf numFmtId="0" fontId="28" fillId="0" borderId="0" xfId="27" applyFont="1">
      <alignment vertical="center"/>
    </xf>
    <xf numFmtId="0" fontId="27" fillId="0" borderId="0" xfId="27" applyFont="1">
      <alignment vertical="center"/>
    </xf>
    <xf numFmtId="0" fontId="28" fillId="0" borderId="4" xfId="27" applyFont="1" applyBorder="1">
      <alignment vertical="center"/>
    </xf>
    <xf numFmtId="0" fontId="27" fillId="0" borderId="4" xfId="27" applyFont="1" applyBorder="1" applyAlignment="1">
      <alignment horizontal="center" vertical="center"/>
    </xf>
    <xf numFmtId="0" fontId="27" fillId="0" borderId="4" xfId="27" applyFont="1" applyBorder="1">
      <alignment vertical="center"/>
    </xf>
    <xf numFmtId="0" fontId="9" fillId="0" borderId="4" xfId="86" applyFill="1" applyBorder="1"/>
    <xf numFmtId="4" fontId="27" fillId="0" borderId="4" xfId="27" applyNumberFormat="1" applyFont="1" applyBorder="1" applyAlignment="1">
      <alignment horizontal="center" vertical="center"/>
    </xf>
    <xf numFmtId="0" fontId="28" fillId="4" borderId="4" xfId="27" applyFont="1" applyFill="1" applyBorder="1" applyAlignment="1">
      <alignment horizontal="center" vertical="center" wrapText="1"/>
    </xf>
    <xf numFmtId="0" fontId="28" fillId="4" borderId="4" xfId="15" applyFont="1" applyFill="1" applyBorder="1" applyAlignment="1">
      <alignment horizontal="center" vertical="center" wrapText="1"/>
    </xf>
    <xf numFmtId="0" fontId="28" fillId="4" borderId="4" xfId="40" applyFont="1" applyFill="1" applyBorder="1" applyAlignment="1">
      <alignment horizontal="center" vertical="center" wrapText="1"/>
    </xf>
    <xf numFmtId="0" fontId="28" fillId="4" borderId="6" xfId="40" applyFont="1" applyFill="1" applyBorder="1" applyAlignment="1">
      <alignment horizontal="center" vertical="center" wrapText="1"/>
    </xf>
    <xf numFmtId="0" fontId="28" fillId="0" borderId="0" xfId="10" applyFont="1" applyFill="1" applyBorder="1" applyAlignment="1">
      <alignment horizontal="center" vertical="center" wrapText="1"/>
    </xf>
    <xf numFmtId="0" fontId="28" fillId="0" borderId="0" xfId="0" applyFont="1" applyFill="1" applyBorder="1" applyAlignment="1">
      <alignment horizontal="center" vertical="center"/>
    </xf>
    <xf numFmtId="164" fontId="27" fillId="0" borderId="4" xfId="73" applyFont="1" applyFill="1" applyBorder="1" applyAlignment="1">
      <alignment vertical="center"/>
    </xf>
    <xf numFmtId="0" fontId="43" fillId="0" borderId="0" xfId="0" applyFont="1" applyBorder="1" applyAlignment="1"/>
    <xf numFmtId="0" fontId="43" fillId="0" borderId="0" xfId="0" applyFont="1" applyBorder="1" applyAlignment="1">
      <alignment vertical="top"/>
    </xf>
    <xf numFmtId="164" fontId="27" fillId="0" borderId="4" xfId="10" applyNumberFormat="1" applyFont="1" applyFill="1" applyBorder="1"/>
    <xf numFmtId="0" fontId="27" fillId="0" borderId="4" xfId="10" applyFont="1" applyFill="1" applyBorder="1" applyAlignment="1">
      <alignment horizontal="left" vertical="top" wrapText="1"/>
    </xf>
    <xf numFmtId="0" fontId="27" fillId="0" borderId="4" xfId="10" applyFont="1" applyFill="1" applyBorder="1" applyAlignment="1">
      <alignment vertical="top"/>
    </xf>
    <xf numFmtId="0" fontId="27" fillId="0" borderId="0" xfId="0" applyFont="1" applyFill="1" applyBorder="1"/>
    <xf numFmtId="0" fontId="28" fillId="0" borderId="0" xfId="10" applyFont="1" applyFill="1" applyBorder="1" applyAlignment="1">
      <alignment horizontal="right"/>
    </xf>
    <xf numFmtId="0" fontId="27" fillId="0" borderId="0" xfId="10" applyFont="1" applyFill="1" applyBorder="1" applyAlignment="1">
      <alignment horizontal="center" wrapText="1"/>
    </xf>
    <xf numFmtId="0" fontId="28" fillId="0" borderId="0" xfId="27" applyFont="1" applyFill="1" applyBorder="1" applyAlignment="1">
      <alignment horizontal="center" vertical="center" wrapText="1"/>
    </xf>
    <xf numFmtId="164" fontId="28" fillId="0" borderId="0" xfId="73" applyFont="1" applyFill="1" applyBorder="1" applyAlignment="1">
      <alignment horizontal="center" vertical="top"/>
    </xf>
    <xf numFmtId="0" fontId="28" fillId="0" borderId="0" xfId="40" applyFont="1" applyFill="1" applyBorder="1" applyAlignment="1">
      <alignment horizontal="center" vertical="center" wrapText="1"/>
    </xf>
    <xf numFmtId="0" fontId="27" fillId="0" borderId="0" xfId="40" applyFont="1" applyFill="1" applyBorder="1" applyAlignment="1">
      <alignment horizontal="center" wrapText="1"/>
    </xf>
    <xf numFmtId="10" fontId="27" fillId="0" borderId="0" xfId="72" applyNumberFormat="1" applyFont="1" applyFill="1" applyBorder="1"/>
    <xf numFmtId="0" fontId="27" fillId="0" borderId="0" xfId="15" applyFont="1" applyFill="1">
      <alignment vertical="center"/>
    </xf>
    <xf numFmtId="178" fontId="27" fillId="0" borderId="4" xfId="74" applyNumberFormat="1" applyFont="1" applyFill="1" applyBorder="1" applyAlignment="1">
      <alignment vertical="center"/>
    </xf>
    <xf numFmtId="164" fontId="27" fillId="0" borderId="4" xfId="10" applyNumberFormat="1" applyFont="1" applyFill="1" applyBorder="1" applyAlignment="1" applyProtection="1">
      <alignment horizontal="left"/>
    </xf>
    <xf numFmtId="10" fontId="27" fillId="0" borderId="4" xfId="74" applyNumberFormat="1" applyFont="1" applyFill="1" applyBorder="1" applyAlignment="1" applyProtection="1">
      <alignment horizontal="center" vertical="center"/>
    </xf>
    <xf numFmtId="164" fontId="27" fillId="0" borderId="4" xfId="74" applyFont="1" applyFill="1" applyBorder="1" applyAlignment="1">
      <alignment vertical="center"/>
    </xf>
    <xf numFmtId="10" fontId="27" fillId="0" borderId="4" xfId="72" applyNumberFormat="1" applyFont="1" applyFill="1" applyBorder="1" applyAlignment="1" applyProtection="1">
      <alignment horizontal="center"/>
    </xf>
    <xf numFmtId="10" fontId="27" fillId="0" borderId="4" xfId="73" applyNumberFormat="1" applyFont="1" applyFill="1" applyBorder="1" applyAlignment="1" applyProtection="1">
      <alignment horizontal="center"/>
    </xf>
    <xf numFmtId="164" fontId="27" fillId="0" borderId="4" xfId="73" applyFont="1" applyFill="1" applyBorder="1" applyAlignment="1" applyProtection="1">
      <alignment horizontal="left"/>
    </xf>
    <xf numFmtId="10" fontId="5" fillId="0" borderId="4" xfId="73" applyNumberFormat="1" applyFont="1" applyFill="1" applyBorder="1"/>
    <xf numFmtId="0" fontId="28" fillId="0" borderId="0" xfId="10" applyFont="1" applyBorder="1" applyAlignment="1">
      <alignment horizontal="centerContinuous" wrapText="1"/>
    </xf>
    <xf numFmtId="0" fontId="28" fillId="0" borderId="0" xfId="15" applyFont="1" applyAlignment="1">
      <alignment horizontal="left" vertical="center" wrapText="1"/>
    </xf>
    <xf numFmtId="0" fontId="27" fillId="5" borderId="4" xfId="10" applyFont="1" applyFill="1" applyBorder="1" applyAlignment="1" applyProtection="1">
      <alignment horizontal="left" wrapText="1"/>
    </xf>
    <xf numFmtId="0" fontId="28" fillId="5" borderId="4" xfId="10" applyFont="1" applyFill="1" applyBorder="1" applyAlignment="1" applyProtection="1">
      <alignment horizontal="left" wrapText="1"/>
    </xf>
    <xf numFmtId="0" fontId="27" fillId="0" borderId="4" xfId="10" applyFont="1" applyBorder="1" applyAlignment="1">
      <alignment wrapText="1"/>
    </xf>
    <xf numFmtId="0" fontId="28" fillId="0" borderId="0" xfId="17" applyFont="1" applyAlignment="1">
      <alignment horizontal="center" vertical="center" wrapText="1"/>
    </xf>
    <xf numFmtId="0" fontId="27" fillId="0" borderId="0" xfId="10" applyFont="1" applyAlignment="1">
      <alignment wrapText="1"/>
    </xf>
    <xf numFmtId="0" fontId="28" fillId="5" borderId="0" xfId="10" applyFont="1" applyFill="1" applyBorder="1" applyAlignment="1">
      <alignment horizontal="left" wrapText="1"/>
    </xf>
    <xf numFmtId="0" fontId="27" fillId="0" borderId="0" xfId="10" applyFont="1" applyAlignment="1">
      <alignment horizontal="centerContinuous" wrapText="1"/>
    </xf>
    <xf numFmtId="0" fontId="28" fillId="0" borderId="0" xfId="10" applyFont="1" applyAlignment="1">
      <alignment horizontal="centerContinuous" wrapText="1"/>
    </xf>
    <xf numFmtId="0" fontId="28" fillId="0" borderId="0" xfId="10" applyFont="1" applyFill="1" applyBorder="1" applyAlignment="1">
      <alignment horizontal="center" wrapText="1"/>
    </xf>
    <xf numFmtId="0" fontId="28" fillId="8" borderId="0" xfId="10" applyFont="1" applyFill="1" applyBorder="1" applyAlignment="1">
      <alignment horizontal="center" wrapText="1"/>
    </xf>
    <xf numFmtId="0" fontId="27" fillId="10" borderId="4" xfId="10" applyFont="1" applyFill="1" applyBorder="1" applyAlignment="1">
      <alignment wrapText="1"/>
    </xf>
    <xf numFmtId="0" fontId="27" fillId="8" borderId="0" xfId="10" applyFont="1" applyFill="1" applyAlignment="1">
      <alignment wrapText="1"/>
    </xf>
    <xf numFmtId="2" fontId="27" fillId="0" borderId="4" xfId="27" applyNumberFormat="1" applyFont="1" applyFill="1" applyBorder="1">
      <alignment vertical="center"/>
    </xf>
    <xf numFmtId="0" fontId="27" fillId="0" borderId="4" xfId="27" applyFont="1" applyFill="1" applyBorder="1">
      <alignment vertical="center"/>
    </xf>
    <xf numFmtId="164" fontId="27" fillId="0" borderId="4" xfId="27" applyNumberFormat="1" applyFont="1" applyFill="1" applyBorder="1">
      <alignment vertical="center"/>
    </xf>
    <xf numFmtId="10" fontId="27" fillId="0" borderId="4" xfId="27" applyNumberFormat="1" applyFont="1" applyFill="1" applyBorder="1">
      <alignment vertical="center"/>
    </xf>
    <xf numFmtId="10" fontId="27" fillId="0" borderId="4" xfId="30" applyNumberFormat="1" applyFont="1" applyFill="1" applyBorder="1" applyAlignment="1">
      <alignment vertical="center"/>
    </xf>
    <xf numFmtId="164" fontId="28" fillId="0" borderId="4" xfId="27" applyNumberFormat="1" applyFont="1" applyFill="1" applyBorder="1">
      <alignment vertical="center"/>
    </xf>
    <xf numFmtId="0" fontId="6" fillId="0" borderId="4" xfId="22" applyFont="1" applyFill="1" applyBorder="1" applyAlignment="1">
      <alignment vertical="center" wrapText="1"/>
    </xf>
    <xf numFmtId="0" fontId="6" fillId="0" borderId="6" xfId="22" applyFont="1" applyFill="1" applyBorder="1" applyAlignment="1">
      <alignment horizontal="center" vertical="center"/>
    </xf>
    <xf numFmtId="43" fontId="6" fillId="0" borderId="6" xfId="22" applyNumberFormat="1" applyFont="1" applyFill="1" applyBorder="1" applyAlignment="1">
      <alignment horizontal="center" vertical="center"/>
    </xf>
    <xf numFmtId="0" fontId="26" fillId="0" borderId="4" xfId="22" applyFont="1" applyFill="1" applyBorder="1" applyAlignment="1">
      <alignment vertical="center" wrapText="1"/>
    </xf>
    <xf numFmtId="0" fontId="26" fillId="0" borderId="9" xfId="22" applyFont="1" applyFill="1" applyBorder="1" applyAlignment="1">
      <alignment horizontal="center" vertical="center"/>
    </xf>
    <xf numFmtId="43" fontId="28" fillId="0" borderId="4" xfId="23" applyFont="1" applyFill="1" applyBorder="1" applyAlignment="1">
      <alignment vertical="center"/>
    </xf>
    <xf numFmtId="0" fontId="26" fillId="0" borderId="4" xfId="22" applyFont="1" applyFill="1" applyBorder="1" applyAlignment="1">
      <alignment horizontal="left" vertical="center" wrapText="1"/>
    </xf>
    <xf numFmtId="0" fontId="6" fillId="0" borderId="8" xfId="22" applyFont="1" applyFill="1" applyBorder="1" applyAlignment="1">
      <alignment horizontal="center" vertical="center"/>
    </xf>
    <xf numFmtId="164" fontId="27" fillId="0" borderId="4" xfId="14" applyNumberFormat="1" applyFont="1" applyBorder="1">
      <alignment vertical="center"/>
    </xf>
    <xf numFmtId="0" fontId="27" fillId="0" borderId="0" xfId="0" applyFont="1" applyBorder="1" applyAlignment="1">
      <alignment horizontal="left"/>
    </xf>
    <xf numFmtId="0" fontId="28" fillId="0" borderId="0" xfId="0" applyFont="1" applyBorder="1" applyAlignment="1">
      <alignment horizontal="left" vertical="top"/>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11" applyFont="1" applyBorder="1" applyAlignment="1">
      <alignment wrapText="1"/>
    </xf>
    <xf numFmtId="0" fontId="28" fillId="0" borderId="0" xfId="11" applyFont="1" applyBorder="1" applyAlignment="1">
      <alignment horizontal="centerContinuous" wrapText="1"/>
    </xf>
    <xf numFmtId="0" fontId="28" fillId="0" borderId="0" xfId="11" applyFont="1" applyFill="1" applyBorder="1" applyAlignment="1">
      <alignment horizontal="right" wrapText="1"/>
    </xf>
    <xf numFmtId="0" fontId="28" fillId="5" borderId="4" xfId="11" applyFont="1" applyFill="1" applyBorder="1" applyAlignment="1">
      <alignment horizontal="center" vertical="center" wrapText="1"/>
    </xf>
    <xf numFmtId="0" fontId="27" fillId="0" borderId="0" xfId="11" applyFont="1" applyFill="1" applyBorder="1" applyAlignment="1">
      <alignment wrapText="1"/>
    </xf>
    <xf numFmtId="0" fontId="28" fillId="0" borderId="0" xfId="40" applyFont="1" applyBorder="1" applyAlignment="1">
      <alignment horizontal="left" vertical="center" wrapText="1"/>
    </xf>
    <xf numFmtId="0" fontId="2" fillId="0" borderId="4" xfId="22" applyFont="1" applyFill="1" applyBorder="1" applyAlignment="1">
      <alignment vertical="center" wrapText="1"/>
    </xf>
    <xf numFmtId="0" fontId="28" fillId="0" borderId="0" xfId="10" applyFont="1" applyBorder="1" applyAlignment="1">
      <alignment wrapText="1"/>
    </xf>
    <xf numFmtId="164" fontId="1" fillId="0" borderId="4" xfId="0" applyNumberFormat="1" applyFont="1" applyFill="1" applyBorder="1"/>
    <xf numFmtId="164" fontId="27" fillId="0" borderId="4" xfId="0" quotePrefix="1" applyNumberFormat="1" applyFont="1" applyFill="1" applyBorder="1" applyAlignment="1">
      <alignment horizontal="center" vertical="top" wrapText="1"/>
    </xf>
    <xf numFmtId="164" fontId="27" fillId="0" borderId="8" xfId="73" applyFont="1" applyFill="1" applyBorder="1" applyAlignment="1">
      <alignment horizontal="center" vertical="center"/>
    </xf>
    <xf numFmtId="164" fontId="27" fillId="8" borderId="8" xfId="73" applyFont="1" applyFill="1" applyBorder="1" applyAlignment="1" applyProtection="1">
      <alignment horizontal="center"/>
    </xf>
    <xf numFmtId="0" fontId="27" fillId="0" borderId="10" xfId="40" applyFont="1" applyFill="1" applyBorder="1" applyAlignment="1" applyProtection="1">
      <alignment horizontal="left"/>
    </xf>
    <xf numFmtId="164" fontId="43" fillId="0" borderId="4" xfId="73" applyFont="1" applyBorder="1" applyAlignment="1">
      <alignment vertical="center" wrapText="1"/>
    </xf>
    <xf numFmtId="0" fontId="43" fillId="0" borderId="0" xfId="16" applyFont="1" applyBorder="1" applyAlignment="1">
      <alignment vertical="center" wrapText="1"/>
    </xf>
    <xf numFmtId="0" fontId="27" fillId="0" borderId="0" xfId="14" applyFont="1" applyAlignment="1">
      <alignment vertical="center" wrapText="1"/>
    </xf>
    <xf numFmtId="164" fontId="27" fillId="8" borderId="8" xfId="73" applyFont="1" applyFill="1" applyBorder="1" applyAlignment="1" applyProtection="1">
      <alignment horizontal="center"/>
    </xf>
    <xf numFmtId="0" fontId="43" fillId="0" borderId="0" xfId="14" applyFont="1" applyAlignment="1">
      <alignment horizontal="center" vertical="center"/>
    </xf>
    <xf numFmtId="0" fontId="43" fillId="0" borderId="0" xfId="0" applyFont="1" applyBorder="1" applyAlignment="1">
      <alignment horizontal="center" vertical="center" wrapText="1"/>
    </xf>
    <xf numFmtId="0" fontId="43" fillId="4" borderId="4" xfId="14" applyFont="1" applyFill="1" applyBorder="1" applyAlignment="1">
      <alignment horizontal="center" vertical="center" wrapText="1"/>
    </xf>
    <xf numFmtId="0" fontId="47" fillId="0" borderId="4" xfId="0" applyFont="1" applyBorder="1" applyAlignment="1">
      <alignment horizontal="center" vertical="center" wrapText="1"/>
    </xf>
    <xf numFmtId="0" fontId="43" fillId="4" borderId="4" xfId="14" applyFont="1" applyFill="1" applyBorder="1" applyAlignment="1">
      <alignment horizontal="center" vertical="center"/>
    </xf>
    <xf numFmtId="0" fontId="47" fillId="0" borderId="4"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horizontal="center" vertical="top"/>
    </xf>
    <xf numFmtId="0" fontId="28" fillId="4" borderId="4" xfId="27" applyFont="1" applyFill="1" applyBorder="1" applyAlignment="1">
      <alignment horizontal="center" vertical="center" wrapText="1"/>
    </xf>
    <xf numFmtId="0" fontId="32" fillId="0" borderId="4" xfId="40" applyFont="1" applyBorder="1" applyAlignment="1">
      <alignment horizontal="center" vertical="center" wrapText="1"/>
    </xf>
    <xf numFmtId="0" fontId="28" fillId="4" borderId="6" xfId="15" applyFont="1" applyFill="1" applyBorder="1" applyAlignment="1">
      <alignment horizontal="center" vertical="center" wrapText="1"/>
    </xf>
    <xf numFmtId="0" fontId="28" fillId="4" borderId="9" xfId="15" applyFont="1" applyFill="1" applyBorder="1" applyAlignment="1">
      <alignment horizontal="center" vertical="center" wrapText="1"/>
    </xf>
    <xf numFmtId="0" fontId="32" fillId="0" borderId="8" xfId="10" applyFont="1" applyBorder="1" applyAlignment="1">
      <alignment horizontal="center" vertical="center" wrapText="1"/>
    </xf>
    <xf numFmtId="0" fontId="28" fillId="4" borderId="4" xfId="15" applyFont="1" applyFill="1" applyBorder="1" applyAlignment="1">
      <alignment horizontal="center" vertical="center" wrapText="1"/>
    </xf>
    <xf numFmtId="0" fontId="32" fillId="0" borderId="4" xfId="10" applyFont="1" applyBorder="1" applyAlignment="1">
      <alignment horizontal="center" vertical="center" wrapText="1"/>
    </xf>
    <xf numFmtId="0" fontId="28" fillId="4" borderId="4" xfId="15" applyFont="1" applyFill="1" applyBorder="1" applyAlignment="1">
      <alignment horizontal="center" vertical="center"/>
    </xf>
    <xf numFmtId="0" fontId="32" fillId="0" borderId="4" xfId="10" applyFont="1" applyBorder="1" applyAlignment="1">
      <alignment horizontal="center" vertical="center"/>
    </xf>
    <xf numFmtId="0" fontId="28" fillId="4" borderId="12" xfId="27" applyFont="1" applyFill="1" applyBorder="1" applyAlignment="1">
      <alignment horizontal="center" vertical="center" wrapText="1"/>
    </xf>
    <xf numFmtId="0" fontId="28" fillId="4" borderId="3" xfId="27" applyFont="1" applyFill="1" applyBorder="1" applyAlignment="1">
      <alignment horizontal="center" vertical="center" wrapText="1"/>
    </xf>
    <xf numFmtId="0" fontId="28" fillId="4" borderId="10" xfId="27" applyFont="1" applyFill="1" applyBorder="1" applyAlignment="1">
      <alignment horizontal="center" vertical="center" wrapText="1"/>
    </xf>
    <xf numFmtId="0" fontId="28" fillId="0" borderId="0" xfId="40" applyFont="1" applyAlignment="1">
      <alignment horizontal="left"/>
    </xf>
    <xf numFmtId="0" fontId="28" fillId="9" borderId="4" xfId="40" applyFont="1" applyFill="1" applyBorder="1" applyAlignment="1">
      <alignment horizontal="center" vertical="center" wrapText="1"/>
    </xf>
    <xf numFmtId="0" fontId="28" fillId="9" borderId="4" xfId="40" applyFont="1" applyFill="1" applyBorder="1" applyAlignment="1">
      <alignment horizontal="center" wrapText="1"/>
    </xf>
    <xf numFmtId="0" fontId="28" fillId="9" borderId="4" xfId="40" applyFont="1" applyFill="1" applyBorder="1" applyAlignment="1">
      <alignment horizontal="center"/>
    </xf>
    <xf numFmtId="0" fontId="28" fillId="9" borderId="6" xfId="40" applyFont="1" applyFill="1" applyBorder="1" applyAlignment="1">
      <alignment horizontal="center" vertical="center"/>
    </xf>
    <xf numFmtId="0" fontId="28" fillId="9" borderId="9" xfId="40" applyFont="1" applyFill="1" applyBorder="1" applyAlignment="1">
      <alignment horizontal="center" vertical="center"/>
    </xf>
    <xf numFmtId="0" fontId="28" fillId="9" borderId="8" xfId="40" applyFont="1" applyFill="1" applyBorder="1" applyAlignment="1">
      <alignment horizontal="center" vertical="center"/>
    </xf>
    <xf numFmtId="0" fontId="28" fillId="0" borderId="0" xfId="0" applyFont="1" applyBorder="1" applyAlignment="1">
      <alignment horizontal="left" wrapText="1"/>
    </xf>
    <xf numFmtId="0" fontId="27" fillId="0" borderId="8" xfId="10" applyFont="1" applyBorder="1" applyAlignment="1">
      <alignment horizontal="center" vertical="center" wrapText="1"/>
    </xf>
    <xf numFmtId="0" fontId="27" fillId="0" borderId="4" xfId="10" applyFont="1" applyBorder="1" applyAlignment="1">
      <alignment horizontal="center" vertical="center"/>
    </xf>
    <xf numFmtId="164" fontId="27" fillId="0" borderId="6" xfId="73" applyFont="1" applyFill="1" applyBorder="1" applyAlignment="1">
      <alignment horizontal="center" vertical="center"/>
    </xf>
    <xf numFmtId="164" fontId="27" fillId="0" borderId="9" xfId="73" applyFont="1" applyFill="1" applyBorder="1" applyAlignment="1">
      <alignment horizontal="center" vertical="center"/>
    </xf>
    <xf numFmtId="164" fontId="27" fillId="0" borderId="8" xfId="73" applyFont="1" applyFill="1" applyBorder="1" applyAlignment="1">
      <alignment horizontal="center" vertical="center"/>
    </xf>
    <xf numFmtId="164" fontId="27" fillId="8" borderId="6" xfId="73" applyFont="1" applyFill="1" applyBorder="1" applyAlignment="1" applyProtection="1">
      <alignment horizontal="center"/>
    </xf>
    <xf numFmtId="164" fontId="27" fillId="8" borderId="9" xfId="73" applyFont="1" applyFill="1" applyBorder="1" applyAlignment="1" applyProtection="1">
      <alignment horizontal="center"/>
    </xf>
    <xf numFmtId="164" fontId="27" fillId="8" borderId="8" xfId="73" applyFont="1" applyFill="1" applyBorder="1" applyAlignment="1" applyProtection="1">
      <alignment horizontal="center"/>
    </xf>
    <xf numFmtId="164" fontId="27" fillId="0" borderId="6" xfId="73" applyFont="1" applyBorder="1" applyAlignment="1">
      <alignment horizontal="center" vertical="top"/>
    </xf>
    <xf numFmtId="164" fontId="27" fillId="0" borderId="9" xfId="73" applyFont="1" applyBorder="1" applyAlignment="1">
      <alignment horizontal="center" vertical="top"/>
    </xf>
    <xf numFmtId="164" fontId="27" fillId="0" borderId="8" xfId="73" applyFont="1" applyBorder="1" applyAlignment="1">
      <alignment horizontal="center" vertical="top"/>
    </xf>
    <xf numFmtId="0" fontId="27" fillId="0" borderId="4" xfId="11" applyFont="1" applyFill="1" applyBorder="1" applyAlignment="1">
      <alignment horizontal="center"/>
    </xf>
    <xf numFmtId="2" fontId="28" fillId="6" borderId="12" xfId="11" applyNumberFormat="1" applyFont="1" applyFill="1" applyBorder="1" applyAlignment="1">
      <alignment horizontal="center" vertical="center" wrapText="1"/>
    </xf>
    <xf numFmtId="2" fontId="28" fillId="6" borderId="3" xfId="11" applyNumberFormat="1" applyFont="1" applyFill="1" applyBorder="1" applyAlignment="1">
      <alignment horizontal="center" vertical="center" wrapText="1"/>
    </xf>
    <xf numFmtId="2" fontId="28" fillId="6" borderId="10" xfId="11" applyNumberFormat="1" applyFont="1" applyFill="1" applyBorder="1" applyAlignment="1">
      <alignment horizontal="center" vertical="center" wrapText="1"/>
    </xf>
    <xf numFmtId="2" fontId="28" fillId="7" borderId="12" xfId="11" applyNumberFormat="1" applyFont="1" applyFill="1" applyBorder="1" applyAlignment="1" applyProtection="1">
      <alignment horizontal="center" vertical="center" wrapText="1"/>
    </xf>
    <xf numFmtId="2" fontId="28" fillId="7" borderId="3" xfId="11" applyNumberFormat="1" applyFont="1" applyFill="1" applyBorder="1" applyAlignment="1" applyProtection="1">
      <alignment horizontal="center" vertical="center" wrapText="1"/>
    </xf>
    <xf numFmtId="2" fontId="28" fillId="7" borderId="10" xfId="11" applyNumberFormat="1" applyFont="1" applyFill="1" applyBorder="1" applyAlignment="1" applyProtection="1">
      <alignment horizontal="center" vertical="center" wrapText="1"/>
    </xf>
    <xf numFmtId="2" fontId="27" fillId="0" borderId="12" xfId="11" applyNumberFormat="1" applyFont="1" applyFill="1" applyBorder="1" applyAlignment="1">
      <alignment horizontal="center"/>
    </xf>
    <xf numFmtId="2" fontId="27" fillId="0" borderId="3" xfId="11" applyNumberFormat="1" applyFont="1" applyFill="1" applyBorder="1" applyAlignment="1">
      <alignment horizontal="center"/>
    </xf>
    <xf numFmtId="2" fontId="27" fillId="0" borderId="10" xfId="11" applyNumberFormat="1" applyFont="1" applyFill="1" applyBorder="1" applyAlignment="1">
      <alignment horizontal="center"/>
    </xf>
    <xf numFmtId="0" fontId="27" fillId="0" borderId="12" xfId="11" applyFont="1" applyFill="1" applyBorder="1" applyAlignment="1">
      <alignment horizontal="center"/>
    </xf>
    <xf numFmtId="0" fontId="27" fillId="0" borderId="3" xfId="11" applyFont="1" applyFill="1" applyBorder="1" applyAlignment="1">
      <alignment horizontal="center"/>
    </xf>
    <xf numFmtId="0" fontId="27" fillId="0" borderId="10" xfId="11" applyFont="1" applyFill="1" applyBorder="1" applyAlignment="1">
      <alignment horizontal="center"/>
    </xf>
    <xf numFmtId="0" fontId="28" fillId="0" borderId="12" xfId="15" applyFont="1" applyFill="1" applyBorder="1" applyAlignment="1">
      <alignment horizontal="center" vertical="center" wrapText="1"/>
    </xf>
    <xf numFmtId="0" fontId="28" fillId="0" borderId="3" xfId="15" applyFont="1" applyFill="1" applyBorder="1" applyAlignment="1">
      <alignment horizontal="center" vertical="center" wrapText="1"/>
    </xf>
    <xf numFmtId="0" fontId="28" fillId="0" borderId="10" xfId="15" applyFont="1" applyFill="1" applyBorder="1" applyAlignment="1">
      <alignment horizontal="center" vertical="center" wrapText="1"/>
    </xf>
    <xf numFmtId="0" fontId="27" fillId="0" borderId="12" xfId="11" applyFont="1" applyFill="1" applyBorder="1" applyAlignment="1">
      <alignment horizontal="center" vertical="center" wrapText="1"/>
    </xf>
    <xf numFmtId="0" fontId="27" fillId="0" borderId="3" xfId="11" applyFont="1" applyFill="1" applyBorder="1" applyAlignment="1">
      <alignment horizontal="center" vertical="center" wrapText="1"/>
    </xf>
    <xf numFmtId="0" fontId="27" fillId="0" borderId="10" xfId="11" applyFont="1" applyFill="1" applyBorder="1" applyAlignment="1">
      <alignment horizontal="center" vertical="center" wrapText="1"/>
    </xf>
    <xf numFmtId="0" fontId="28" fillId="6" borderId="12" xfId="11" applyFont="1" applyFill="1" applyBorder="1" applyAlignment="1">
      <alignment horizontal="center" vertical="center" wrapText="1"/>
    </xf>
    <xf numFmtId="0" fontId="28" fillId="6" borderId="3" xfId="11" applyFont="1" applyFill="1" applyBorder="1" applyAlignment="1">
      <alignment horizontal="center" vertical="center" wrapText="1"/>
    </xf>
    <xf numFmtId="0" fontId="28" fillId="6" borderId="10" xfId="11" applyFont="1" applyFill="1" applyBorder="1" applyAlignment="1">
      <alignment horizontal="center" vertical="center" wrapText="1"/>
    </xf>
    <xf numFmtId="2" fontId="27" fillId="0" borderId="12" xfId="11" applyNumberFormat="1" applyFont="1" applyFill="1" applyBorder="1" applyAlignment="1">
      <alignment horizontal="center" vertical="center" wrapText="1"/>
    </xf>
    <xf numFmtId="2" fontId="27" fillId="0" borderId="3" xfId="11" applyNumberFormat="1" applyFont="1" applyFill="1" applyBorder="1" applyAlignment="1">
      <alignment horizontal="center" vertical="center" wrapText="1"/>
    </xf>
    <xf numFmtId="2" fontId="27" fillId="0" borderId="10" xfId="11" applyNumberFormat="1" applyFont="1" applyFill="1" applyBorder="1" applyAlignment="1">
      <alignment horizontal="center" vertical="center" wrapText="1"/>
    </xf>
    <xf numFmtId="0" fontId="28" fillId="9" borderId="4" xfId="11" applyFont="1" applyFill="1" applyBorder="1" applyAlignment="1">
      <alignment horizontal="center" vertical="center"/>
    </xf>
    <xf numFmtId="0" fontId="27" fillId="0" borderId="12" xfId="11" quotePrefix="1" applyFont="1" applyFill="1" applyBorder="1" applyAlignment="1">
      <alignment horizontal="center" vertical="center" wrapText="1"/>
    </xf>
    <xf numFmtId="0" fontId="27" fillId="0" borderId="3" xfId="11" quotePrefix="1" applyFont="1" applyFill="1" applyBorder="1" applyAlignment="1">
      <alignment horizontal="center" vertical="center" wrapText="1"/>
    </xf>
    <xf numFmtId="0" fontId="27" fillId="0" borderId="10" xfId="11" quotePrefix="1" applyFont="1" applyFill="1" applyBorder="1" applyAlignment="1">
      <alignment horizontal="center" vertical="center" wrapText="1"/>
    </xf>
    <xf numFmtId="0" fontId="28" fillId="0" borderId="12" xfId="11" applyFont="1" applyFill="1" applyBorder="1" applyAlignment="1">
      <alignment horizontal="center" vertical="center" wrapText="1"/>
    </xf>
    <xf numFmtId="0" fontId="28" fillId="0" borderId="3" xfId="11" applyFont="1" applyFill="1" applyBorder="1" applyAlignment="1">
      <alignment horizontal="center" vertical="center" wrapText="1"/>
    </xf>
    <xf numFmtId="0" fontId="28" fillId="0" borderId="10" xfId="11" applyFont="1" applyFill="1" applyBorder="1" applyAlignment="1">
      <alignment horizontal="center" vertical="center" wrapText="1"/>
    </xf>
    <xf numFmtId="0" fontId="28" fillId="0" borderId="0" xfId="16" applyFont="1" applyAlignment="1">
      <alignment horizontal="left" vertical="center"/>
    </xf>
    <xf numFmtId="0" fontId="27" fillId="0" borderId="0" xfId="0" applyFont="1" applyAlignment="1">
      <alignment horizontal="left" vertical="center"/>
    </xf>
    <xf numFmtId="0" fontId="28" fillId="0" borderId="0" xfId="0" applyFont="1" applyBorder="1" applyAlignment="1">
      <alignment horizontal="left" vertical="center"/>
    </xf>
    <xf numFmtId="0" fontId="28" fillId="9" borderId="4" xfId="11" applyFont="1" applyFill="1" applyBorder="1" applyAlignment="1">
      <alignment horizontal="center" vertical="center" wrapText="1"/>
    </xf>
    <xf numFmtId="0" fontId="28" fillId="9" borderId="10" xfId="12" applyFont="1" applyFill="1" applyBorder="1" applyAlignment="1">
      <alignment horizontal="center" vertical="center" wrapText="1"/>
    </xf>
    <xf numFmtId="0" fontId="28" fillId="9" borderId="4" xfId="12" applyFont="1" applyFill="1" applyBorder="1" applyAlignment="1">
      <alignment horizontal="center" vertical="center"/>
    </xf>
    <xf numFmtId="0" fontId="28" fillId="9" borderId="4" xfId="12" applyFont="1" applyFill="1" applyBorder="1" applyAlignment="1">
      <alignment horizontal="center" vertical="center" wrapText="1"/>
    </xf>
    <xf numFmtId="0" fontId="28" fillId="9" borderId="12" xfId="12" applyFont="1" applyFill="1" applyBorder="1" applyAlignment="1">
      <alignment horizontal="center" vertical="center"/>
    </xf>
    <xf numFmtId="0" fontId="28" fillId="9" borderId="3" xfId="12" applyFont="1" applyFill="1" applyBorder="1" applyAlignment="1">
      <alignment horizontal="center" vertical="center"/>
    </xf>
    <xf numFmtId="0" fontId="28" fillId="9" borderId="10" xfId="12" applyFont="1" applyFill="1" applyBorder="1" applyAlignment="1">
      <alignment horizontal="center" vertical="center"/>
    </xf>
    <xf numFmtId="0" fontId="28" fillId="0" borderId="0" xfId="0" applyFont="1" applyBorder="1" applyAlignment="1">
      <alignment horizontal="center" vertical="center" wrapText="1"/>
    </xf>
    <xf numFmtId="0" fontId="28" fillId="0" borderId="0" xfId="15" applyFont="1" applyFill="1" applyBorder="1" applyAlignment="1">
      <alignment horizontal="center" vertical="center"/>
    </xf>
    <xf numFmtId="0" fontId="27" fillId="0" borderId="12" xfId="40" applyFont="1" applyFill="1" applyBorder="1" applyAlignment="1">
      <alignment horizontal="center"/>
    </xf>
    <xf numFmtId="0" fontId="27" fillId="0" borderId="3" xfId="40" applyFont="1" applyFill="1" applyBorder="1" applyAlignment="1">
      <alignment horizontal="center"/>
    </xf>
    <xf numFmtId="0" fontId="27" fillId="0" borderId="10" xfId="40" applyFont="1" applyFill="1" applyBorder="1" applyAlignment="1">
      <alignment horizontal="center"/>
    </xf>
    <xf numFmtId="0" fontId="27" fillId="0" borderId="4" xfId="40" applyFont="1" applyFill="1" applyBorder="1" applyAlignment="1">
      <alignment horizontal="center"/>
    </xf>
    <xf numFmtId="0" fontId="28" fillId="0" borderId="0" xfId="15" applyFont="1" applyAlignment="1">
      <alignment horizontal="center" vertical="center"/>
    </xf>
    <xf numFmtId="0" fontId="32" fillId="0" borderId="0" xfId="10" applyFont="1" applyAlignment="1">
      <alignment horizontal="center" vertical="center"/>
    </xf>
    <xf numFmtId="0" fontId="28" fillId="0" borderId="0" xfId="10" applyFont="1" applyBorder="1" applyAlignment="1">
      <alignment horizontal="center" vertical="center"/>
    </xf>
    <xf numFmtId="0" fontId="42" fillId="0" borderId="0" xfId="10" applyFont="1" applyAlignment="1">
      <alignment horizontal="center" vertical="center"/>
    </xf>
    <xf numFmtId="0" fontId="28" fillId="4" borderId="3" xfId="15" applyFont="1" applyFill="1" applyBorder="1" applyAlignment="1">
      <alignment horizontal="center" vertical="center" wrapText="1"/>
    </xf>
    <xf numFmtId="0" fontId="28" fillId="0" borderId="0" xfId="17" applyFont="1" applyAlignment="1">
      <alignment horizontal="center" vertical="center"/>
    </xf>
    <xf numFmtId="0" fontId="28" fillId="0" borderId="0" xfId="0" applyFont="1" applyBorder="1" applyAlignment="1">
      <alignment horizontal="center" vertical="top"/>
    </xf>
    <xf numFmtId="0" fontId="28" fillId="0" borderId="0" xfId="0" applyFont="1" applyBorder="1" applyAlignment="1">
      <alignment horizontal="center" vertical="center"/>
    </xf>
    <xf numFmtId="0" fontId="28" fillId="4" borderId="12" xfId="15" applyFont="1" applyFill="1" applyBorder="1" applyAlignment="1">
      <alignment horizontal="center" vertical="center" wrapText="1"/>
    </xf>
    <xf numFmtId="0" fontId="28" fillId="0" borderId="0" xfId="0" applyFont="1" applyAlignment="1">
      <alignment horizontal="center"/>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 xfId="0" applyFont="1" applyBorder="1"/>
    <xf numFmtId="0" fontId="28" fillId="0" borderId="0" xfId="40" applyFont="1" applyBorder="1" applyAlignment="1">
      <alignment horizontal="left" vertical="center" wrapText="1"/>
    </xf>
    <xf numFmtId="0" fontId="28" fillId="4" borderId="6" xfId="27" applyFont="1" applyFill="1" applyBorder="1" applyAlignment="1">
      <alignment horizontal="center" vertical="center" wrapText="1"/>
    </xf>
    <xf numFmtId="0" fontId="28" fillId="4" borderId="9" xfId="27" applyFont="1" applyFill="1" applyBorder="1" applyAlignment="1">
      <alignment horizontal="center" vertical="center" wrapText="1"/>
    </xf>
    <xf numFmtId="0" fontId="27" fillId="0" borderId="8" xfId="40" applyFont="1" applyBorder="1" applyAlignment="1">
      <alignment horizontal="center" vertical="center" wrapText="1"/>
    </xf>
    <xf numFmtId="0" fontId="28" fillId="4" borderId="4" xfId="27" applyFont="1" applyFill="1" applyBorder="1" applyAlignment="1">
      <alignment horizontal="center" vertical="center"/>
    </xf>
    <xf numFmtId="0" fontId="27" fillId="0" borderId="4" xfId="40" applyFont="1" applyBorder="1" applyAlignment="1">
      <alignment horizontal="center" vertical="center"/>
    </xf>
    <xf numFmtId="0" fontId="27" fillId="8" borderId="0" xfId="40" applyFont="1" applyFill="1" applyAlignment="1">
      <alignment horizontal="left"/>
    </xf>
    <xf numFmtId="0" fontId="29" fillId="4" borderId="12" xfId="40" applyFont="1" applyFill="1" applyBorder="1" applyAlignment="1">
      <alignment horizontal="center" vertical="center" wrapText="1"/>
    </xf>
    <xf numFmtId="0" fontId="29" fillId="4" borderId="3" xfId="40" applyFont="1" applyFill="1" applyBorder="1" applyAlignment="1">
      <alignment horizontal="center" vertical="center" wrapText="1"/>
    </xf>
    <xf numFmtId="0" fontId="29" fillId="4" borderId="10" xfId="40" applyFont="1" applyFill="1" applyBorder="1" applyAlignment="1">
      <alignment horizontal="center" vertical="center" wrapText="1"/>
    </xf>
    <xf numFmtId="0" fontId="28" fillId="4" borderId="4" xfId="10" applyFont="1" applyFill="1" applyBorder="1" applyAlignment="1">
      <alignment horizontal="center" vertical="center" wrapText="1"/>
    </xf>
    <xf numFmtId="0" fontId="28" fillId="4" borderId="6" xfId="10" applyFont="1" applyFill="1" applyBorder="1" applyAlignment="1">
      <alignment horizontal="center" vertical="center"/>
    </xf>
    <xf numFmtId="0" fontId="28" fillId="4" borderId="8" xfId="10" applyFont="1" applyFill="1" applyBorder="1" applyAlignment="1">
      <alignment horizontal="center" vertical="center"/>
    </xf>
    <xf numFmtId="0" fontId="28" fillId="4" borderId="6" xfId="10" applyFont="1" applyFill="1" applyBorder="1" applyAlignment="1">
      <alignment horizontal="center" vertical="center" wrapText="1"/>
    </xf>
    <xf numFmtId="0" fontId="28" fillId="4" borderId="8" xfId="10" applyFont="1" applyFill="1" applyBorder="1" applyAlignment="1">
      <alignment horizontal="center" vertical="center" wrapText="1"/>
    </xf>
    <xf numFmtId="0" fontId="28" fillId="4" borderId="12" xfId="10" applyFont="1" applyFill="1" applyBorder="1" applyAlignment="1">
      <alignment horizontal="center" vertical="center" wrapText="1"/>
    </xf>
    <xf numFmtId="0" fontId="28" fillId="4" borderId="3" xfId="10" applyFont="1" applyFill="1" applyBorder="1" applyAlignment="1">
      <alignment horizontal="center" vertical="center" wrapText="1"/>
    </xf>
    <xf numFmtId="0" fontId="28" fillId="4" borderId="10" xfId="10" applyFont="1" applyFill="1" applyBorder="1" applyAlignment="1">
      <alignment horizontal="center" vertical="center" wrapText="1"/>
    </xf>
    <xf numFmtId="0" fontId="28" fillId="4" borderId="6" xfId="10" applyFont="1" applyFill="1" applyBorder="1" applyAlignment="1">
      <alignment horizontal="left" vertical="center" wrapText="1"/>
    </xf>
    <xf numFmtId="0" fontId="28" fillId="4" borderId="9" xfId="10" applyFont="1" applyFill="1" applyBorder="1" applyAlignment="1">
      <alignment horizontal="left" vertical="center" wrapText="1"/>
    </xf>
    <xf numFmtId="0" fontId="28" fillId="4" borderId="8" xfId="10" applyFont="1" applyFill="1" applyBorder="1" applyAlignment="1">
      <alignment horizontal="left" vertical="center" wrapText="1"/>
    </xf>
    <xf numFmtId="0" fontId="28" fillId="4" borderId="9" xfId="10" applyFont="1" applyFill="1" applyBorder="1" applyAlignment="1">
      <alignment horizontal="center" vertical="center" wrapText="1"/>
    </xf>
    <xf numFmtId="0" fontId="56" fillId="0" borderId="13" xfId="10" applyFont="1" applyFill="1" applyBorder="1" applyAlignment="1">
      <alignment horizontal="center" vertical="center" textRotation="45"/>
    </xf>
    <xf numFmtId="0" fontId="56" fillId="0" borderId="15" xfId="10" applyFont="1" applyFill="1" applyBorder="1" applyAlignment="1">
      <alignment horizontal="center" vertical="center" textRotation="45"/>
    </xf>
    <xf numFmtId="0" fontId="56" fillId="0" borderId="14" xfId="10" applyFont="1" applyFill="1" applyBorder="1" applyAlignment="1">
      <alignment horizontal="center" vertical="center" textRotation="45"/>
    </xf>
    <xf numFmtId="0" fontId="56" fillId="0" borderId="30" xfId="10" applyFont="1" applyFill="1" applyBorder="1" applyAlignment="1">
      <alignment horizontal="center" vertical="center" textRotation="45"/>
    </xf>
    <xf numFmtId="0" fontId="56" fillId="0" borderId="0" xfId="10" applyFont="1" applyFill="1" applyBorder="1" applyAlignment="1">
      <alignment horizontal="center" vertical="center" textRotation="45"/>
    </xf>
    <xf numFmtId="0" fontId="56" fillId="0" borderId="31" xfId="10" applyFont="1" applyFill="1" applyBorder="1" applyAlignment="1">
      <alignment horizontal="center" vertical="center" textRotation="45"/>
    </xf>
    <xf numFmtId="0" fontId="56" fillId="0" borderId="32" xfId="10" applyFont="1" applyFill="1" applyBorder="1" applyAlignment="1">
      <alignment horizontal="center" vertical="center" textRotation="45"/>
    </xf>
    <xf numFmtId="0" fontId="56" fillId="0" borderId="16" xfId="10" applyFont="1" applyFill="1" applyBorder="1" applyAlignment="1">
      <alignment horizontal="center" vertical="center" textRotation="45"/>
    </xf>
    <xf numFmtId="0" fontId="56" fillId="0" borderId="33" xfId="10" applyFont="1" applyFill="1" applyBorder="1" applyAlignment="1">
      <alignment horizontal="center" vertical="center" textRotation="45"/>
    </xf>
    <xf numFmtId="0" fontId="54" fillId="0" borderId="13" xfId="10" applyFont="1" applyFill="1" applyBorder="1" applyAlignment="1">
      <alignment horizontal="center" vertical="center" textRotation="44"/>
    </xf>
    <xf numFmtId="0" fontId="55" fillId="0" borderId="15" xfId="0" applyFont="1" applyBorder="1" applyAlignment="1">
      <alignment horizontal="center" vertical="center" textRotation="44"/>
    </xf>
    <xf numFmtId="0" fontId="55" fillId="0" borderId="14" xfId="0" applyFont="1" applyBorder="1" applyAlignment="1">
      <alignment horizontal="center" vertical="center" textRotation="44"/>
    </xf>
    <xf numFmtId="0" fontId="55" fillId="0" borderId="30" xfId="0" applyFont="1" applyBorder="1" applyAlignment="1">
      <alignment horizontal="center" vertical="center" textRotation="44"/>
    </xf>
    <xf numFmtId="0" fontId="55" fillId="0" borderId="0" xfId="0" applyFont="1" applyAlignment="1">
      <alignment horizontal="center" vertical="center" textRotation="44"/>
    </xf>
    <xf numFmtId="0" fontId="55" fillId="0" borderId="31" xfId="0" applyFont="1" applyBorder="1" applyAlignment="1">
      <alignment horizontal="center" vertical="center" textRotation="44"/>
    </xf>
    <xf numFmtId="0" fontId="55" fillId="0" borderId="32" xfId="0" applyFont="1" applyBorder="1" applyAlignment="1">
      <alignment horizontal="center" vertical="center" textRotation="44"/>
    </xf>
    <xf numFmtId="0" fontId="55" fillId="0" borderId="16" xfId="0" applyFont="1" applyBorder="1" applyAlignment="1">
      <alignment horizontal="center" vertical="center" textRotation="44"/>
    </xf>
    <xf numFmtId="0" fontId="55" fillId="0" borderId="33" xfId="0" applyFont="1" applyBorder="1" applyAlignment="1">
      <alignment horizontal="center" vertical="center" textRotation="44"/>
    </xf>
    <xf numFmtId="0" fontId="28" fillId="5" borderId="0" xfId="10" applyFont="1" applyFill="1" applyBorder="1" applyAlignment="1">
      <alignment horizontal="center" vertical="center"/>
    </xf>
    <xf numFmtId="0" fontId="27" fillId="0" borderId="4" xfId="10" applyFont="1" applyBorder="1" applyAlignment="1">
      <alignment horizontal="center" vertical="center" wrapText="1"/>
    </xf>
    <xf numFmtId="0" fontId="28" fillId="4" borderId="13" xfId="10" applyFont="1" applyFill="1" applyBorder="1" applyAlignment="1">
      <alignment horizontal="center" vertical="center" wrapText="1"/>
    </xf>
    <xf numFmtId="0" fontId="28" fillId="4" borderId="15" xfId="10" applyFont="1" applyFill="1" applyBorder="1" applyAlignment="1">
      <alignment horizontal="center" vertical="center" wrapText="1"/>
    </xf>
    <xf numFmtId="0" fontId="28" fillId="4" borderId="14" xfId="10" applyFont="1" applyFill="1" applyBorder="1" applyAlignment="1">
      <alignment horizontal="center" vertical="center" wrapText="1"/>
    </xf>
    <xf numFmtId="0" fontId="57" fillId="0" borderId="13" xfId="10" applyFont="1" applyFill="1" applyBorder="1" applyAlignment="1">
      <alignment horizontal="center" vertical="center" textRotation="37" wrapText="1"/>
    </xf>
    <xf numFmtId="0" fontId="57" fillId="0" borderId="15" xfId="10" applyFont="1" applyFill="1" applyBorder="1" applyAlignment="1">
      <alignment horizontal="center" vertical="center" textRotation="37" wrapText="1"/>
    </xf>
    <xf numFmtId="0" fontId="57" fillId="0" borderId="30" xfId="10" applyFont="1" applyFill="1" applyBorder="1" applyAlignment="1">
      <alignment horizontal="center" vertical="center" textRotation="37" wrapText="1"/>
    </xf>
    <xf numFmtId="0" fontId="57" fillId="0" borderId="0" xfId="10" applyFont="1" applyFill="1" applyBorder="1" applyAlignment="1">
      <alignment horizontal="center" vertical="center" textRotation="37" wrapText="1"/>
    </xf>
    <xf numFmtId="0" fontId="57" fillId="0" borderId="32" xfId="10" applyFont="1" applyFill="1" applyBorder="1" applyAlignment="1">
      <alignment horizontal="center" vertical="center" textRotation="37" wrapText="1"/>
    </xf>
    <xf numFmtId="0" fontId="57" fillId="0" borderId="16" xfId="10" applyFont="1" applyFill="1" applyBorder="1" applyAlignment="1">
      <alignment horizontal="center" vertical="center" textRotation="37" wrapText="1"/>
    </xf>
    <xf numFmtId="0" fontId="57" fillId="0" borderId="14" xfId="10" applyFont="1" applyFill="1" applyBorder="1" applyAlignment="1">
      <alignment horizontal="center" vertical="center" textRotation="37" wrapText="1"/>
    </xf>
    <xf numFmtId="0" fontId="57" fillId="0" borderId="31" xfId="10" applyFont="1" applyFill="1" applyBorder="1" applyAlignment="1">
      <alignment horizontal="center" vertical="center" textRotation="37" wrapText="1"/>
    </xf>
    <xf numFmtId="0" fontId="57" fillId="0" borderId="33" xfId="10" applyFont="1" applyFill="1" applyBorder="1" applyAlignment="1">
      <alignment horizontal="center" vertical="center" textRotation="37" wrapText="1"/>
    </xf>
    <xf numFmtId="0" fontId="28" fillId="0" borderId="0" xfId="17" applyFont="1" applyAlignment="1">
      <alignment horizontal="left" vertical="center"/>
    </xf>
    <xf numFmtId="0" fontId="28" fillId="0" borderId="0" xfId="10" applyFont="1" applyBorder="1" applyAlignment="1">
      <alignment horizontal="left" vertical="center"/>
    </xf>
    <xf numFmtId="0" fontId="28" fillId="5" borderId="0" xfId="10" applyFont="1" applyFill="1" applyBorder="1" applyAlignment="1">
      <alignment horizontal="left" vertical="center"/>
    </xf>
    <xf numFmtId="0" fontId="28" fillId="4" borderId="4" xfId="40" applyFont="1" applyFill="1" applyBorder="1" applyAlignment="1">
      <alignment horizontal="center" vertical="center" wrapText="1"/>
    </xf>
    <xf numFmtId="0" fontId="28" fillId="4" borderId="6" xfId="40" applyFont="1" applyFill="1" applyBorder="1" applyAlignment="1">
      <alignment horizontal="center" vertical="center" wrapText="1"/>
    </xf>
    <xf numFmtId="0" fontId="28" fillId="4" borderId="8" xfId="40" applyFont="1" applyFill="1" applyBorder="1" applyAlignment="1">
      <alignment horizontal="center" vertical="center" wrapText="1"/>
    </xf>
    <xf numFmtId="0" fontId="28" fillId="4" borderId="6" xfId="62" applyFont="1" applyFill="1" applyBorder="1" applyAlignment="1">
      <alignment horizontal="center" vertical="center" wrapText="1"/>
    </xf>
    <xf numFmtId="0" fontId="28" fillId="4" borderId="8" xfId="62" applyFont="1" applyFill="1" applyBorder="1" applyAlignment="1">
      <alignment horizontal="center" vertical="center" wrapText="1"/>
    </xf>
    <xf numFmtId="0" fontId="28" fillId="0" borderId="0" xfId="10" applyFont="1" applyFill="1" applyBorder="1" applyAlignment="1">
      <alignment horizontal="center" vertical="center" wrapText="1"/>
    </xf>
    <xf numFmtId="0" fontId="58" fillId="0" borderId="13" xfId="10" applyFont="1" applyFill="1" applyBorder="1" applyAlignment="1">
      <alignment horizontal="center" vertical="center" textRotation="37"/>
    </xf>
    <xf numFmtId="0" fontId="58" fillId="0" borderId="15" xfId="10" applyFont="1" applyFill="1" applyBorder="1" applyAlignment="1">
      <alignment horizontal="center" vertical="center" textRotation="37"/>
    </xf>
    <xf numFmtId="0" fontId="58" fillId="0" borderId="14" xfId="10" applyFont="1" applyFill="1" applyBorder="1" applyAlignment="1">
      <alignment horizontal="center" vertical="center" textRotation="37"/>
    </xf>
    <xf numFmtId="0" fontId="58" fillId="0" borderId="30" xfId="10" applyFont="1" applyFill="1" applyBorder="1" applyAlignment="1">
      <alignment horizontal="center" vertical="center" textRotation="37"/>
    </xf>
    <xf numFmtId="0" fontId="58" fillId="0" borderId="0" xfId="10" applyFont="1" applyFill="1" applyBorder="1" applyAlignment="1">
      <alignment horizontal="center" vertical="center" textRotation="37"/>
    </xf>
    <xf numFmtId="0" fontId="58" fillId="0" borderId="31" xfId="10" applyFont="1" applyFill="1" applyBorder="1" applyAlignment="1">
      <alignment horizontal="center" vertical="center" textRotation="37"/>
    </xf>
    <xf numFmtId="0" fontId="58" fillId="0" borderId="32" xfId="10" applyFont="1" applyFill="1" applyBorder="1" applyAlignment="1">
      <alignment horizontal="center" vertical="center" textRotation="37"/>
    </xf>
    <xf numFmtId="0" fontId="58" fillId="0" borderId="16" xfId="10" applyFont="1" applyFill="1" applyBorder="1" applyAlignment="1">
      <alignment horizontal="center" vertical="center" textRotation="37"/>
    </xf>
    <xf numFmtId="0" fontId="58" fillId="0" borderId="33" xfId="10" applyFont="1" applyFill="1" applyBorder="1" applyAlignment="1">
      <alignment horizontal="center" vertical="center" textRotation="37"/>
    </xf>
    <xf numFmtId="0" fontId="27" fillId="8" borderId="0" xfId="27" applyFont="1" applyFill="1" applyAlignment="1">
      <alignment horizontal="left" vertical="center"/>
    </xf>
    <xf numFmtId="0" fontId="28" fillId="4" borderId="4" xfId="40" applyFont="1" applyFill="1" applyBorder="1" applyAlignment="1">
      <alignment horizontal="center" wrapText="1"/>
    </xf>
    <xf numFmtId="0" fontId="27" fillId="0" borderId="4" xfId="40" applyFont="1" applyBorder="1" applyAlignment="1">
      <alignment horizontal="center" wrapText="1"/>
    </xf>
    <xf numFmtId="0" fontId="28" fillId="4" borderId="4" xfId="10" applyFont="1" applyFill="1" applyBorder="1" applyAlignment="1">
      <alignment horizontal="center" wrapText="1"/>
    </xf>
    <xf numFmtId="0" fontId="27" fillId="0" borderId="4" xfId="10" applyFont="1" applyBorder="1" applyAlignment="1">
      <alignment horizontal="center" wrapText="1"/>
    </xf>
    <xf numFmtId="0" fontId="27" fillId="5" borderId="0" xfId="10" applyFont="1" applyFill="1" applyBorder="1" applyAlignment="1">
      <alignment horizontal="left" vertical="top" wrapText="1"/>
    </xf>
    <xf numFmtId="0" fontId="28" fillId="0" borderId="0" xfId="15" applyFont="1" applyAlignment="1">
      <alignment horizontal="left" vertical="center"/>
    </xf>
    <xf numFmtId="0" fontId="28" fillId="0" borderId="0" xfId="10" applyFont="1" applyBorder="1" applyAlignment="1">
      <alignment horizontal="left" vertical="top"/>
    </xf>
    <xf numFmtId="0" fontId="28" fillId="0" borderId="0" xfId="10" applyFont="1" applyBorder="1" applyAlignment="1">
      <alignment horizontal="left"/>
    </xf>
    <xf numFmtId="0" fontId="28" fillId="4" borderId="8" xfId="15" applyFont="1" applyFill="1" applyBorder="1" applyAlignment="1">
      <alignment horizontal="center" vertical="center" wrapText="1"/>
    </xf>
    <xf numFmtId="0" fontId="28" fillId="4" borderId="8" xfId="27" applyFont="1" applyFill="1" applyBorder="1" applyAlignment="1">
      <alignment horizontal="center" vertical="center" wrapText="1"/>
    </xf>
    <xf numFmtId="0" fontId="28" fillId="4" borderId="12" xfId="27" applyFont="1" applyFill="1" applyBorder="1" applyAlignment="1">
      <alignment horizontal="center" vertical="center"/>
    </xf>
    <xf numFmtId="0" fontId="28" fillId="4" borderId="3" xfId="27" applyFont="1" applyFill="1" applyBorder="1" applyAlignment="1">
      <alignment horizontal="center" vertical="center"/>
    </xf>
    <xf numFmtId="0" fontId="28" fillId="4" borderId="10" xfId="27" applyFont="1" applyFill="1" applyBorder="1" applyAlignment="1">
      <alignment horizontal="center" vertical="center"/>
    </xf>
    <xf numFmtId="0" fontId="28" fillId="0" borderId="0" xfId="10" applyFont="1" applyBorder="1" applyAlignment="1">
      <alignment horizontal="center" vertical="top"/>
    </xf>
    <xf numFmtId="0" fontId="28" fillId="0" borderId="0" xfId="10" applyFont="1" applyBorder="1" applyAlignment="1">
      <alignment horizontal="center"/>
    </xf>
    <xf numFmtId="0" fontId="27" fillId="0" borderId="0" xfId="27" applyFont="1" applyAlignment="1">
      <alignment horizontal="left" vertical="center" wrapText="1"/>
    </xf>
    <xf numFmtId="0" fontId="43" fillId="0" borderId="0" xfId="27" applyFont="1" applyAlignment="1">
      <alignment horizontal="center" vertical="center" wrapText="1"/>
    </xf>
    <xf numFmtId="0" fontId="28" fillId="0" borderId="0" xfId="14" applyFont="1" applyAlignment="1">
      <alignment horizontal="center" vertical="center"/>
    </xf>
    <xf numFmtId="0" fontId="28" fillId="0" borderId="0" xfId="0" applyFont="1" applyFill="1" applyBorder="1" applyAlignment="1">
      <alignment horizontal="left" vertical="center"/>
    </xf>
    <xf numFmtId="0" fontId="28" fillId="0" borderId="0" xfId="40" applyFont="1" applyBorder="1" applyAlignment="1">
      <alignment horizontal="center" vertical="center" wrapText="1"/>
    </xf>
    <xf numFmtId="0" fontId="28" fillId="0" borderId="0" xfId="10" applyFont="1" applyBorder="1" applyAlignment="1">
      <alignment horizontal="center" vertical="center" wrapText="1"/>
    </xf>
    <xf numFmtId="0" fontId="27" fillId="0" borderId="0" xfId="10" applyFont="1" applyAlignment="1">
      <alignment horizontal="left" vertical="center"/>
    </xf>
    <xf numFmtId="0" fontId="6" fillId="0" borderId="6" xfId="22" applyFont="1" applyFill="1" applyBorder="1" applyAlignment="1">
      <alignment horizontal="center" vertical="center"/>
    </xf>
    <xf numFmtId="0" fontId="6" fillId="0" borderId="9" xfId="22" applyFont="1" applyFill="1" applyBorder="1" applyAlignment="1">
      <alignment horizontal="center" vertical="center"/>
    </xf>
    <xf numFmtId="0" fontId="6" fillId="0" borderId="8" xfId="22" applyFont="1" applyFill="1" applyBorder="1" applyAlignment="1">
      <alignment horizontal="center" vertical="center"/>
    </xf>
    <xf numFmtId="43" fontId="27" fillId="0" borderId="6" xfId="23" applyFont="1" applyBorder="1" applyAlignment="1">
      <alignment horizontal="center" vertical="center"/>
    </xf>
    <xf numFmtId="43" fontId="27" fillId="0" borderId="9" xfId="23" applyFont="1" applyBorder="1" applyAlignment="1">
      <alignment horizontal="center" vertical="center"/>
    </xf>
    <xf numFmtId="43" fontId="27" fillId="0" borderId="8" xfId="23" applyFont="1" applyBorder="1" applyAlignment="1">
      <alignment horizontal="center" vertical="center"/>
    </xf>
    <xf numFmtId="0" fontId="6" fillId="0" borderId="6" xfId="22" applyFont="1" applyBorder="1" applyAlignment="1">
      <alignment horizontal="center" vertical="center"/>
    </xf>
    <xf numFmtId="0" fontId="6" fillId="0" borderId="9" xfId="22" applyFont="1" applyBorder="1" applyAlignment="1">
      <alignment horizontal="center" vertical="center"/>
    </xf>
    <xf numFmtId="0" fontId="6" fillId="0" borderId="8" xfId="22" applyFont="1" applyBorder="1" applyAlignment="1">
      <alignment horizontal="center" vertical="center"/>
    </xf>
    <xf numFmtId="0" fontId="27" fillId="0" borderId="0" xfId="10" applyFont="1" applyAlignment="1">
      <alignment horizontal="center" vertical="center" wrapText="1"/>
    </xf>
    <xf numFmtId="0" fontId="27" fillId="0" borderId="0" xfId="15" applyFont="1" applyAlignment="1">
      <alignment horizontal="left" vertical="center" wrapText="1"/>
    </xf>
    <xf numFmtId="0" fontId="28" fillId="0" borderId="0" xfId="10" applyFont="1" applyBorder="1" applyAlignment="1">
      <alignment horizontal="left" wrapText="1"/>
    </xf>
    <xf numFmtId="0" fontId="28" fillId="0" borderId="0" xfId="40" applyFont="1" applyAlignment="1">
      <alignment horizontal="center"/>
    </xf>
    <xf numFmtId="0" fontId="28" fillId="9" borderId="6" xfId="27" applyFont="1" applyFill="1" applyBorder="1" applyAlignment="1">
      <alignment horizontal="center" vertical="center"/>
    </xf>
    <xf numFmtId="0" fontId="28" fillId="9" borderId="8" xfId="27" applyFont="1" applyFill="1" applyBorder="1" applyAlignment="1">
      <alignment horizontal="center" vertical="center"/>
    </xf>
    <xf numFmtId="0" fontId="28" fillId="9" borderId="12" xfId="40" applyFont="1" applyFill="1" applyBorder="1" applyAlignment="1">
      <alignment horizontal="center" vertical="center" wrapText="1"/>
    </xf>
    <xf numFmtId="0" fontId="28" fillId="9" borderId="3" xfId="40" applyFont="1" applyFill="1" applyBorder="1" applyAlignment="1">
      <alignment horizontal="center" vertical="center" wrapText="1"/>
    </xf>
    <xf numFmtId="0" fontId="28" fillId="9" borderId="10" xfId="40" applyFont="1" applyFill="1" applyBorder="1" applyAlignment="1">
      <alignment horizontal="center" vertical="center" wrapText="1"/>
    </xf>
    <xf numFmtId="0" fontId="27" fillId="0" borderId="0" xfId="15" applyFont="1" applyAlignment="1">
      <alignment horizontal="left" vertical="center"/>
    </xf>
    <xf numFmtId="0" fontId="28" fillId="0" borderId="0" xfId="26" applyFont="1" applyBorder="1" applyAlignment="1">
      <alignment horizontal="center" vertical="center"/>
    </xf>
    <xf numFmtId="0" fontId="28" fillId="4" borderId="6" xfId="25" applyFont="1" applyFill="1" applyBorder="1" applyAlignment="1">
      <alignment horizontal="left" vertical="center" wrapText="1"/>
    </xf>
    <xf numFmtId="0" fontId="28" fillId="4" borderId="9" xfId="25" applyFont="1" applyFill="1" applyBorder="1" applyAlignment="1">
      <alignment horizontal="left" vertical="center" wrapText="1"/>
    </xf>
    <xf numFmtId="0" fontId="27" fillId="0" borderId="9" xfId="26" applyFont="1" applyBorder="1" applyAlignment="1">
      <alignment horizontal="left" vertical="center" wrapText="1"/>
    </xf>
    <xf numFmtId="0" fontId="27" fillId="0" borderId="8" xfId="26" applyFont="1" applyBorder="1" applyAlignment="1">
      <alignment horizontal="left" vertical="center" wrapText="1"/>
    </xf>
    <xf numFmtId="0" fontId="28" fillId="4" borderId="8" xfId="25" applyFont="1" applyFill="1" applyBorder="1" applyAlignment="1">
      <alignment horizontal="left" vertical="center" wrapText="1"/>
    </xf>
    <xf numFmtId="0" fontId="28" fillId="4" borderId="12" xfId="25" applyFont="1" applyFill="1" applyBorder="1" applyAlignment="1">
      <alignment horizontal="center" vertical="center"/>
    </xf>
    <xf numFmtId="0" fontId="28" fillId="4" borderId="3" xfId="25" applyFont="1" applyFill="1" applyBorder="1" applyAlignment="1">
      <alignment horizontal="center" vertical="center"/>
    </xf>
    <xf numFmtId="0" fontId="28" fillId="4" borderId="10" xfId="25" applyFont="1" applyFill="1" applyBorder="1" applyAlignment="1">
      <alignment horizontal="center" vertical="center"/>
    </xf>
    <xf numFmtId="2" fontId="28" fillId="4" borderId="6" xfId="25" applyNumberFormat="1" applyFont="1" applyFill="1" applyBorder="1" applyAlignment="1">
      <alignment horizontal="center" vertical="top"/>
    </xf>
    <xf numFmtId="2" fontId="28" fillId="4" borderId="9" xfId="25" applyNumberFormat="1" applyFont="1" applyFill="1" applyBorder="1" applyAlignment="1">
      <alignment horizontal="center" vertical="top"/>
    </xf>
    <xf numFmtId="2" fontId="28" fillId="4" borderId="8" xfId="25" applyNumberFormat="1" applyFont="1" applyFill="1" applyBorder="1" applyAlignment="1">
      <alignment horizontal="center" vertical="top"/>
    </xf>
    <xf numFmtId="0" fontId="28" fillId="4" borderId="6" xfId="25" applyFont="1" applyFill="1" applyBorder="1" applyAlignment="1">
      <alignment horizontal="center" vertical="top" wrapText="1"/>
    </xf>
    <xf numFmtId="0" fontId="28" fillId="4" borderId="9" xfId="25" applyFont="1" applyFill="1" applyBorder="1" applyAlignment="1">
      <alignment horizontal="center" vertical="top" wrapText="1"/>
    </xf>
    <xf numFmtId="0" fontId="28" fillId="4" borderId="8" xfId="25" applyFont="1" applyFill="1" applyBorder="1" applyAlignment="1">
      <alignment horizontal="center" vertical="top" wrapText="1"/>
    </xf>
    <xf numFmtId="0" fontId="28" fillId="4" borderId="4" xfId="25" applyFont="1" applyFill="1" applyBorder="1" applyAlignment="1">
      <alignment horizontal="center" vertical="center" wrapText="1"/>
    </xf>
    <xf numFmtId="0" fontId="26" fillId="0" borderId="0" xfId="26" applyFont="1" applyAlignment="1">
      <alignment horizontal="center" vertical="center"/>
    </xf>
    <xf numFmtId="0" fontId="28" fillId="4" borderId="12" xfId="26" applyFont="1" applyFill="1" applyBorder="1" applyAlignment="1">
      <alignment horizontal="center" vertical="top" wrapText="1"/>
    </xf>
    <xf numFmtId="0" fontId="28" fillId="4" borderId="3" xfId="26" applyFont="1" applyFill="1" applyBorder="1" applyAlignment="1">
      <alignment horizontal="center" vertical="top" wrapText="1"/>
    </xf>
    <xf numFmtId="0" fontId="28" fillId="4" borderId="10" xfId="26" applyFont="1" applyFill="1" applyBorder="1" applyAlignment="1">
      <alignment horizontal="center" vertical="top" wrapText="1"/>
    </xf>
    <xf numFmtId="10" fontId="28" fillId="0" borderId="12" xfId="30" quotePrefix="1" applyNumberFormat="1" applyFont="1" applyFill="1" applyBorder="1" applyAlignment="1">
      <alignment horizontal="center" vertical="center"/>
    </xf>
    <xf numFmtId="10" fontId="28" fillId="0" borderId="3" xfId="30" applyNumberFormat="1" applyFont="1" applyFill="1" applyBorder="1" applyAlignment="1">
      <alignment horizontal="center" vertical="center"/>
    </xf>
    <xf numFmtId="10" fontId="28" fillId="0" borderId="10" xfId="30" applyNumberFormat="1" applyFont="1" applyFill="1" applyBorder="1" applyAlignment="1">
      <alignment horizontal="center" vertical="center"/>
    </xf>
    <xf numFmtId="0" fontId="31" fillId="0" borderId="0" xfId="26" applyFont="1" applyFill="1" applyBorder="1" applyAlignment="1">
      <alignment horizontal="left" wrapText="1"/>
    </xf>
    <xf numFmtId="0" fontId="28" fillId="0" borderId="0" xfId="25" applyFont="1" applyBorder="1" applyAlignment="1">
      <alignment horizontal="center" vertical="top"/>
    </xf>
    <xf numFmtId="0" fontId="28" fillId="4" borderId="12" xfId="25" applyFont="1" applyFill="1" applyBorder="1" applyAlignment="1">
      <alignment horizontal="center" vertical="top" wrapText="1"/>
    </xf>
    <xf numFmtId="0" fontId="28" fillId="4" borderId="10" xfId="25" applyFont="1" applyFill="1" applyBorder="1" applyAlignment="1">
      <alignment horizontal="center" vertical="top" wrapText="1"/>
    </xf>
    <xf numFmtId="0" fontId="28" fillId="8" borderId="0" xfId="25" applyFont="1" applyFill="1" applyBorder="1" applyAlignment="1">
      <alignment horizontal="center" vertical="top"/>
    </xf>
    <xf numFmtId="0" fontId="28" fillId="9" borderId="6" xfId="40" applyFont="1" applyFill="1" applyBorder="1" applyAlignment="1">
      <alignment horizontal="center" vertical="top" wrapText="1"/>
    </xf>
    <xf numFmtId="0" fontId="28" fillId="9" borderId="9" xfId="40" applyFont="1" applyFill="1" applyBorder="1" applyAlignment="1">
      <alignment horizontal="center" vertical="top" wrapText="1"/>
    </xf>
    <xf numFmtId="0" fontId="28" fillId="9" borderId="8" xfId="40" applyFont="1" applyFill="1" applyBorder="1" applyAlignment="1">
      <alignment horizontal="center" vertical="top" wrapText="1"/>
    </xf>
    <xf numFmtId="0" fontId="28" fillId="0" borderId="0" xfId="40" applyFont="1" applyBorder="1" applyAlignment="1">
      <alignment horizontal="left" vertical="center"/>
    </xf>
    <xf numFmtId="0" fontId="32" fillId="0" borderId="0" xfId="40" applyFont="1" applyAlignment="1">
      <alignment horizontal="left" vertical="center"/>
    </xf>
    <xf numFmtId="0" fontId="28" fillId="8" borderId="0" xfId="40" applyFont="1" applyFill="1" applyBorder="1" applyAlignment="1">
      <alignment horizontal="left" vertical="center"/>
    </xf>
    <xf numFmtId="0" fontId="32" fillId="8" borderId="0" xfId="40" applyFont="1" applyFill="1" applyAlignment="1">
      <alignment horizontal="left" vertical="center"/>
    </xf>
    <xf numFmtId="0" fontId="34" fillId="14" borderId="6" xfId="78" applyFont="1" applyFill="1" applyBorder="1" applyAlignment="1">
      <alignment horizontal="center" vertical="center"/>
    </xf>
    <xf numFmtId="0" fontId="34" fillId="14" borderId="8" xfId="78" applyFont="1" applyFill="1" applyBorder="1" applyAlignment="1">
      <alignment horizontal="center" vertical="center"/>
    </xf>
    <xf numFmtId="176" fontId="34" fillId="14" borderId="6" xfId="74" applyNumberFormat="1" applyFont="1" applyFill="1" applyBorder="1" applyAlignment="1">
      <alignment horizontal="center" vertical="center" wrapText="1"/>
    </xf>
    <xf numFmtId="176" fontId="34" fillId="14" borderId="8" xfId="74" applyNumberFormat="1" applyFont="1" applyFill="1" applyBorder="1" applyAlignment="1">
      <alignment horizontal="center" vertical="center" wrapText="1"/>
    </xf>
    <xf numFmtId="0" fontId="34" fillId="14" borderId="6" xfId="78" applyFont="1" applyFill="1" applyBorder="1" applyAlignment="1">
      <alignment horizontal="center" vertical="center" wrapText="1"/>
    </xf>
    <xf numFmtId="0" fontId="34" fillId="14" borderId="8" xfId="78" applyFont="1" applyFill="1" applyBorder="1" applyAlignment="1">
      <alignment horizontal="center" vertical="center" wrapText="1"/>
    </xf>
    <xf numFmtId="0" fontId="35" fillId="14" borderId="4" xfId="78" applyFont="1" applyFill="1" applyBorder="1" applyAlignment="1">
      <alignment horizontal="center"/>
    </xf>
    <xf numFmtId="0" fontId="35" fillId="14" borderId="4" xfId="78" applyFont="1" applyFill="1" applyBorder="1" applyAlignment="1">
      <alignment horizontal="center" vertical="center"/>
    </xf>
    <xf numFmtId="176" fontId="34" fillId="14" borderId="9" xfId="74" applyNumberFormat="1" applyFont="1" applyFill="1" applyBorder="1" applyAlignment="1">
      <alignment horizontal="center" vertical="center" wrapText="1"/>
    </xf>
    <xf numFmtId="0" fontId="42" fillId="9" borderId="0" xfId="0" applyFont="1" applyFill="1" applyAlignment="1">
      <alignment horizontal="center"/>
    </xf>
    <xf numFmtId="0" fontId="42" fillId="9" borderId="16" xfId="0" applyFont="1" applyFill="1" applyBorder="1" applyAlignment="1">
      <alignment horizontal="center"/>
    </xf>
    <xf numFmtId="0" fontId="28" fillId="17" borderId="12" xfId="27" applyFont="1" applyFill="1" applyBorder="1" applyAlignment="1">
      <alignment horizontal="center" vertical="center" wrapText="1"/>
    </xf>
    <xf numFmtId="0" fontId="28" fillId="17" borderId="3" xfId="27" applyFont="1" applyFill="1" applyBorder="1" applyAlignment="1">
      <alignment horizontal="center" vertical="center" wrapText="1"/>
    </xf>
    <xf numFmtId="0" fontId="28" fillId="17" borderId="10" xfId="27" applyFont="1" applyFill="1" applyBorder="1" applyAlignment="1">
      <alignment horizontal="center" vertical="center" wrapText="1"/>
    </xf>
    <xf numFmtId="0" fontId="28" fillId="17" borderId="6" xfId="27" applyFont="1" applyFill="1" applyBorder="1" applyAlignment="1">
      <alignment horizontal="center" vertical="center"/>
    </xf>
    <xf numFmtId="0" fontId="28" fillId="17" borderId="8" xfId="27" applyFont="1" applyFill="1" applyBorder="1" applyAlignment="1">
      <alignment horizontal="center" vertical="center"/>
    </xf>
    <xf numFmtId="0" fontId="50" fillId="0" borderId="4" xfId="77" applyBorder="1" applyAlignment="1">
      <alignment horizontal="center"/>
    </xf>
    <xf numFmtId="0" fontId="32" fillId="0" borderId="4" xfId="0" applyFont="1" applyBorder="1" applyAlignment="1">
      <alignment horizontal="center"/>
    </xf>
    <xf numFmtId="0" fontId="42" fillId="0" borderId="0" xfId="0" applyFont="1" applyAlignment="1">
      <alignment horizontal="center"/>
    </xf>
    <xf numFmtId="0" fontId="42" fillId="17" borderId="4" xfId="0" applyFont="1" applyFill="1" applyBorder="1" applyAlignment="1">
      <alignment horizontal="center"/>
    </xf>
    <xf numFmtId="0" fontId="42" fillId="17" borderId="12" xfId="0" applyFont="1" applyFill="1" applyBorder="1" applyAlignment="1">
      <alignment horizontal="center"/>
    </xf>
    <xf numFmtId="0" fontId="42" fillId="17" borderId="3" xfId="0" applyFont="1" applyFill="1" applyBorder="1" applyAlignment="1">
      <alignment horizontal="center"/>
    </xf>
    <xf numFmtId="0" fontId="42" fillId="17" borderId="10" xfId="0" applyFont="1" applyFill="1" applyBorder="1" applyAlignment="1">
      <alignment horizontal="center"/>
    </xf>
    <xf numFmtId="0" fontId="42" fillId="0" borderId="16" xfId="76" applyFont="1" applyBorder="1" applyAlignment="1">
      <alignment horizontal="center"/>
    </xf>
    <xf numFmtId="0" fontId="32" fillId="0" borderId="0" xfId="76" applyFont="1" applyAlignment="1">
      <alignment horizontal="center"/>
    </xf>
    <xf numFmtId="0" fontId="42" fillId="0" borderId="12" xfId="76" applyFont="1" applyBorder="1" applyAlignment="1">
      <alignment horizontal="center"/>
    </xf>
    <xf numFmtId="0" fontId="42" fillId="0" borderId="3" xfId="76" applyFont="1" applyBorder="1" applyAlignment="1">
      <alignment horizontal="center"/>
    </xf>
    <xf numFmtId="0" fontId="42" fillId="0" borderId="10" xfId="76" applyFont="1" applyBorder="1" applyAlignment="1">
      <alignment horizontal="center"/>
    </xf>
    <xf numFmtId="0" fontId="42" fillId="17" borderId="26" xfId="0" applyFont="1" applyFill="1" applyBorder="1" applyAlignment="1">
      <alignment horizontal="center"/>
    </xf>
    <xf numFmtId="0" fontId="42" fillId="17" borderId="27" xfId="0" applyFont="1" applyFill="1" applyBorder="1" applyAlignment="1">
      <alignment horizontal="center"/>
    </xf>
    <xf numFmtId="0" fontId="42" fillId="17" borderId="28" xfId="0" applyFont="1" applyFill="1" applyBorder="1" applyAlignment="1">
      <alignment horizontal="center"/>
    </xf>
    <xf numFmtId="0" fontId="28" fillId="17" borderId="24" xfId="76" applyFont="1" applyFill="1" applyBorder="1" applyAlignment="1">
      <alignment horizontal="center" vertical="center"/>
    </xf>
    <xf numFmtId="0" fontId="28" fillId="17" borderId="23" xfId="76" applyFont="1" applyFill="1" applyBorder="1" applyAlignment="1">
      <alignment horizontal="center" vertical="center"/>
    </xf>
    <xf numFmtId="0" fontId="42" fillId="17" borderId="16" xfId="0" applyFont="1" applyFill="1" applyBorder="1" applyAlignment="1">
      <alignment horizontal="center"/>
    </xf>
    <xf numFmtId="164" fontId="42" fillId="0" borderId="12" xfId="0" applyNumberFormat="1" applyFont="1" applyBorder="1" applyAlignment="1">
      <alignment horizontal="center" vertical="center"/>
    </xf>
    <xf numFmtId="164" fontId="42" fillId="0" borderId="3" xfId="0" applyNumberFormat="1" applyFont="1" applyBorder="1" applyAlignment="1">
      <alignment horizontal="center" vertical="center"/>
    </xf>
    <xf numFmtId="164" fontId="42" fillId="0" borderId="10" xfId="0" applyNumberFormat="1" applyFont="1" applyBorder="1" applyAlignment="1">
      <alignment horizontal="center" vertical="center"/>
    </xf>
    <xf numFmtId="0" fontId="32" fillId="0" borderId="4" xfId="0" applyFont="1" applyBorder="1" applyAlignment="1">
      <alignment horizontal="left"/>
    </xf>
    <xf numFmtId="0" fontId="28" fillId="17" borderId="29" xfId="76" applyFont="1" applyFill="1" applyBorder="1" applyAlignment="1">
      <alignment horizontal="center" vertical="center" wrapText="1"/>
    </xf>
    <xf numFmtId="0" fontId="28" fillId="17" borderId="4" xfId="76" applyFont="1" applyFill="1" applyBorder="1" applyAlignment="1">
      <alignment horizontal="center" vertical="center"/>
    </xf>
    <xf numFmtId="0" fontId="27" fillId="0" borderId="0" xfId="76" applyFont="1" applyAlignment="1">
      <alignment horizontal="center"/>
    </xf>
    <xf numFmtId="0" fontId="28" fillId="0" borderId="4" xfId="76" applyFont="1" applyBorder="1" applyAlignment="1">
      <alignment horizontal="center"/>
    </xf>
    <xf numFmtId="0" fontId="28" fillId="0" borderId="0" xfId="27" applyFont="1" applyAlignment="1">
      <alignment horizontal="center" vertical="center"/>
    </xf>
    <xf numFmtId="0" fontId="28" fillId="0" borderId="23" xfId="40" applyFont="1" applyBorder="1" applyAlignment="1">
      <alignment horizontal="center" vertical="top"/>
    </xf>
    <xf numFmtId="0" fontId="28" fillId="17" borderId="4" xfId="0" applyFont="1" applyFill="1" applyBorder="1" applyAlignment="1">
      <alignment horizontal="center" vertical="center" wrapText="1"/>
    </xf>
  </cellXfs>
  <cellStyles count="110">
    <cellStyle name="Body" xfId="1" xr:uid="{00000000-0005-0000-0000-000000000000}"/>
    <cellStyle name="Comma" xfId="73" builtinId="3"/>
    <cellStyle name="Comma  - Style1" xfId="2" xr:uid="{00000000-0005-0000-0000-000002000000}"/>
    <cellStyle name="Comma 10" xfId="100" xr:uid="{00000000-0005-0000-0000-000003000000}"/>
    <cellStyle name="Comma 11" xfId="107" xr:uid="{00000000-0005-0000-0000-000004000000}"/>
    <cellStyle name="Comma 11 2" xfId="23" xr:uid="{00000000-0005-0000-0000-000005000000}"/>
    <cellStyle name="Comma 11 2 2" xfId="84" xr:uid="{00000000-0005-0000-0000-000006000000}"/>
    <cellStyle name="Comma 12" xfId="109" xr:uid="{00000000-0005-0000-0000-000007000000}"/>
    <cellStyle name="Comma 13" xfId="103" xr:uid="{00000000-0005-0000-0000-000008000000}"/>
    <cellStyle name="Comma 2" xfId="33" xr:uid="{00000000-0005-0000-0000-000009000000}"/>
    <cellStyle name="Comma 2 2" xfId="34" xr:uid="{00000000-0005-0000-0000-00000A000000}"/>
    <cellStyle name="Comma 2 2 2" xfId="69" xr:uid="{00000000-0005-0000-0000-00000B000000}"/>
    <cellStyle name="Comma 2 2 3" xfId="87" xr:uid="{00000000-0005-0000-0000-00000C000000}"/>
    <cellStyle name="Comma 2 3" xfId="35" xr:uid="{00000000-0005-0000-0000-00000D000000}"/>
    <cellStyle name="Comma 2 3 2" xfId="88" xr:uid="{00000000-0005-0000-0000-00000E000000}"/>
    <cellStyle name="Comma 2 4" xfId="64" xr:uid="{00000000-0005-0000-0000-00000F000000}"/>
    <cellStyle name="Comma 3" xfId="36" xr:uid="{00000000-0005-0000-0000-000010000000}"/>
    <cellStyle name="Comma 3 2" xfId="68" xr:uid="{00000000-0005-0000-0000-000011000000}"/>
    <cellStyle name="Comma 3 2 2" xfId="80" xr:uid="{00000000-0005-0000-0000-000012000000}"/>
    <cellStyle name="Comma 3 2 3" xfId="96" xr:uid="{00000000-0005-0000-0000-000013000000}"/>
    <cellStyle name="Comma 3 3" xfId="89" xr:uid="{00000000-0005-0000-0000-000014000000}"/>
    <cellStyle name="Comma 4" xfId="37" xr:uid="{00000000-0005-0000-0000-000015000000}"/>
    <cellStyle name="Comma 4 2" xfId="70" xr:uid="{00000000-0005-0000-0000-000016000000}"/>
    <cellStyle name="Comma 4 2 2" xfId="79" xr:uid="{00000000-0005-0000-0000-000017000000}"/>
    <cellStyle name="Comma 4 2 3" xfId="97" xr:uid="{00000000-0005-0000-0000-000018000000}"/>
    <cellStyle name="Comma 4 3" xfId="90" xr:uid="{00000000-0005-0000-0000-000019000000}"/>
    <cellStyle name="Comma 5" xfId="38" xr:uid="{00000000-0005-0000-0000-00001A000000}"/>
    <cellStyle name="Comma 5 2" xfId="91" xr:uid="{00000000-0005-0000-0000-00001B000000}"/>
    <cellStyle name="Comma 6" xfId="28" xr:uid="{00000000-0005-0000-0000-00001C000000}"/>
    <cellStyle name="Comma 6 2" xfId="32" xr:uid="{00000000-0005-0000-0000-00001D000000}"/>
    <cellStyle name="Comma 6 3" xfId="58" xr:uid="{00000000-0005-0000-0000-00001E000000}"/>
    <cellStyle name="Comma 6 4" xfId="59" xr:uid="{00000000-0005-0000-0000-00001F000000}"/>
    <cellStyle name="Comma 7" xfId="39" xr:uid="{00000000-0005-0000-0000-000020000000}"/>
    <cellStyle name="Comma 8" xfId="71" xr:uid="{00000000-0005-0000-0000-000021000000}"/>
    <cellStyle name="Comma 8 2" xfId="75" xr:uid="{00000000-0005-0000-0000-000022000000}"/>
    <cellStyle name="Comma 8 2 2" xfId="102" xr:uid="{00000000-0005-0000-0000-000023000000}"/>
    <cellStyle name="Comma 8 3" xfId="98" xr:uid="{00000000-0005-0000-0000-000024000000}"/>
    <cellStyle name="Comma 9" xfId="74" xr:uid="{00000000-0005-0000-0000-000025000000}"/>
    <cellStyle name="Comma 9 2" xfId="101" xr:uid="{00000000-0005-0000-0000-000026000000}"/>
    <cellStyle name="Curren - Style2" xfId="3" xr:uid="{00000000-0005-0000-0000-000027000000}"/>
    <cellStyle name="Grey" xfId="4" xr:uid="{00000000-0005-0000-0000-000028000000}"/>
    <cellStyle name="Header1" xfId="5" xr:uid="{00000000-0005-0000-0000-000029000000}"/>
    <cellStyle name="Header2" xfId="6" xr:uid="{00000000-0005-0000-0000-00002A000000}"/>
    <cellStyle name="Hyperlink" xfId="77" builtinId="8"/>
    <cellStyle name="Input [yellow]" xfId="7" xr:uid="{00000000-0005-0000-0000-00002C000000}"/>
    <cellStyle name="no dec" xfId="8" xr:uid="{00000000-0005-0000-0000-00002D000000}"/>
    <cellStyle name="Normal" xfId="0" builtinId="0"/>
    <cellStyle name="Normal - Style1" xfId="9" xr:uid="{00000000-0005-0000-0000-00002F000000}"/>
    <cellStyle name="Normal 10" xfId="76" xr:uid="{00000000-0005-0000-0000-000030000000}"/>
    <cellStyle name="Normal 11" xfId="94" xr:uid="{00000000-0005-0000-0000-000031000000}"/>
    <cellStyle name="Normal 12" xfId="104" xr:uid="{00000000-0005-0000-0000-000032000000}"/>
    <cellStyle name="Normal 13" xfId="86" xr:uid="{00000000-0005-0000-0000-000033000000}"/>
    <cellStyle name="Normal 15" xfId="22" xr:uid="{00000000-0005-0000-0000-000034000000}"/>
    <cellStyle name="Normal 15 2" xfId="83" xr:uid="{00000000-0005-0000-0000-000035000000}"/>
    <cellStyle name="Normal 18" xfId="67" xr:uid="{00000000-0005-0000-0000-000036000000}"/>
    <cellStyle name="Normal 18 2" xfId="78" xr:uid="{00000000-0005-0000-0000-000037000000}"/>
    <cellStyle name="Normal 18 3" xfId="95" xr:uid="{00000000-0005-0000-0000-000038000000}"/>
    <cellStyle name="Normal 2" xfId="10" xr:uid="{00000000-0005-0000-0000-000039000000}"/>
    <cellStyle name="Normal 2 2" xfId="11" xr:uid="{00000000-0005-0000-0000-00003A000000}"/>
    <cellStyle name="Normal 2 2 2" xfId="40" xr:uid="{00000000-0005-0000-0000-00003B000000}"/>
    <cellStyle name="Normal 2 2 2 2" xfId="62" xr:uid="{00000000-0005-0000-0000-00003C000000}"/>
    <cellStyle name="Normal 2 2_Working APR 2007-08 Mahagenco_Bhushan_1.3" xfId="41" xr:uid="{00000000-0005-0000-0000-00003D000000}"/>
    <cellStyle name="Normal 2 3" xfId="12" xr:uid="{00000000-0005-0000-0000-00003E000000}"/>
    <cellStyle name="Normal 2 4" xfId="26" xr:uid="{00000000-0005-0000-0000-00003F000000}"/>
    <cellStyle name="Normal 2_ARR FINAL" xfId="42" xr:uid="{00000000-0005-0000-0000-000040000000}"/>
    <cellStyle name="Normal 3" xfId="13" xr:uid="{00000000-0005-0000-0000-000041000000}"/>
    <cellStyle name="Normal 3 2" xfId="31" xr:uid="{00000000-0005-0000-0000-000042000000}"/>
    <cellStyle name="Normal 3 2 2" xfId="65" xr:uid="{00000000-0005-0000-0000-000043000000}"/>
    <cellStyle name="Normal 39" xfId="43" xr:uid="{00000000-0005-0000-0000-000044000000}"/>
    <cellStyle name="Normal 4" xfId="25" xr:uid="{00000000-0005-0000-0000-000045000000}"/>
    <cellStyle name="Normal 4 2" xfId="63" xr:uid="{00000000-0005-0000-0000-000046000000}"/>
    <cellStyle name="Normal 5" xfId="44" xr:uid="{00000000-0005-0000-0000-000047000000}"/>
    <cellStyle name="Normal 5 2" xfId="45" xr:uid="{00000000-0005-0000-0000-000048000000}"/>
    <cellStyle name="Normal 5 3" xfId="92" xr:uid="{00000000-0005-0000-0000-000049000000}"/>
    <cellStyle name="Normal 6" xfId="46" xr:uid="{00000000-0005-0000-0000-00004A000000}"/>
    <cellStyle name="Normal 7" xfId="47" xr:uid="{00000000-0005-0000-0000-00004B000000}"/>
    <cellStyle name="Normal 7 2" xfId="93" xr:uid="{00000000-0005-0000-0000-00004C000000}"/>
    <cellStyle name="Normal 8" xfId="60" xr:uid="{00000000-0005-0000-0000-00004D000000}"/>
    <cellStyle name="Normal 9" xfId="61" xr:uid="{00000000-0005-0000-0000-00004E000000}"/>
    <cellStyle name="Normal_FORMATS 5 YEAR ALOKE" xfId="14" xr:uid="{00000000-0005-0000-0000-00004F000000}"/>
    <cellStyle name="Normal_FORMATS 5 YEAR ALOKE 2" xfId="15" xr:uid="{00000000-0005-0000-0000-000050000000}"/>
    <cellStyle name="Normal_FORMATS 5 YEAR ALOKE 2 2" xfId="27" xr:uid="{00000000-0005-0000-0000-000051000000}"/>
    <cellStyle name="Normal_FORMATS 5 YEAR ALOKE 3" xfId="16" xr:uid="{00000000-0005-0000-0000-000052000000}"/>
    <cellStyle name="Normal_FORMATS 5 YEAR ALOKE 3 2" xfId="17" xr:uid="{00000000-0005-0000-0000-000053000000}"/>
    <cellStyle name="Normal_FORMATS 5 YEAR ALOKE 4" xfId="48" xr:uid="{00000000-0005-0000-0000-000054000000}"/>
    <cellStyle name="Normal_Sheet1" xfId="29" xr:uid="{00000000-0005-0000-0000-000055000000}"/>
    <cellStyle name="Percent" xfId="72" builtinId="5"/>
    <cellStyle name="Percent [0]_#6 Temps &amp; Contractors" xfId="18" xr:uid="{00000000-0005-0000-0000-000057000000}"/>
    <cellStyle name="Percent [2]" xfId="19" xr:uid="{00000000-0005-0000-0000-000058000000}"/>
    <cellStyle name="Percent [2] 2" xfId="81" xr:uid="{00000000-0005-0000-0000-000059000000}"/>
    <cellStyle name="Percent 10" xfId="105" xr:uid="{00000000-0005-0000-0000-00005A000000}"/>
    <cellStyle name="Percent 2" xfId="30" xr:uid="{00000000-0005-0000-0000-00005B000000}"/>
    <cellStyle name="Percent 2 2" xfId="49" xr:uid="{00000000-0005-0000-0000-00005C000000}"/>
    <cellStyle name="Percent 2 3" xfId="66" xr:uid="{00000000-0005-0000-0000-00005D000000}"/>
    <cellStyle name="Percent 3" xfId="50" xr:uid="{00000000-0005-0000-0000-00005E000000}"/>
    <cellStyle name="Percent 3 2" xfId="51" xr:uid="{00000000-0005-0000-0000-00005F000000}"/>
    <cellStyle name="Percent 4" xfId="52" xr:uid="{00000000-0005-0000-0000-000060000000}"/>
    <cellStyle name="Percent 41" xfId="24" xr:uid="{00000000-0005-0000-0000-000061000000}"/>
    <cellStyle name="Percent 41 2" xfId="85" xr:uid="{00000000-0005-0000-0000-000062000000}"/>
    <cellStyle name="Percent 5" xfId="53" xr:uid="{00000000-0005-0000-0000-000063000000}"/>
    <cellStyle name="Percent 5 2" xfId="54" xr:uid="{00000000-0005-0000-0000-000064000000}"/>
    <cellStyle name="Percent 5 3" xfId="55" xr:uid="{00000000-0005-0000-0000-000065000000}"/>
    <cellStyle name="Percent 6" xfId="56" xr:uid="{00000000-0005-0000-0000-000066000000}"/>
    <cellStyle name="Percent 6 2" xfId="57" xr:uid="{00000000-0005-0000-0000-000067000000}"/>
    <cellStyle name="Percent 7" xfId="99" xr:uid="{00000000-0005-0000-0000-000068000000}"/>
    <cellStyle name="Percent 8" xfId="106" xr:uid="{00000000-0005-0000-0000-000069000000}"/>
    <cellStyle name="Percent 9" xfId="108" xr:uid="{00000000-0005-0000-0000-00006A000000}"/>
    <cellStyle name="Style 1" xfId="20" xr:uid="{00000000-0005-0000-0000-00006B000000}"/>
    <cellStyle name="Style 1 2" xfId="82" xr:uid="{00000000-0005-0000-0000-00006C000000}"/>
    <cellStyle name="Style 2" xfId="21" xr:uid="{00000000-0005-0000-0000-00006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externalLink" Target="externalLinks/externalLink1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externalLink" Target="externalLinks/externalLink14.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externalLink" Target="externalLinks/externalLink1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04REL-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himanshu.chawla/Desktop/MSETCL_PIS/Revised%20Model%204%20July/SK%20Sir%20Mail/Final%20Sent%206.07.2013/Users/himanshu.chawla/Desktop/MSETCL_PIS/Hasnain%20Mail/201-04REL-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atabank/1-Projects%20In%20Hand/DFID/ARR%202003-04/Arr%20Petition%202003-04/For%20Submission/ARR%20Forms%20For%20Submiss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21/shared%20doc/ARR%202.6%20REV/Performance/PERFORMANCE/ocm/Yearly_perf/OCMJAN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anurag/My%20Documents/petitions/Petition%20for%20trans%20ARR.doc/Databank/1-Projects%20In%20Hand/DFID/ARR%202003-04/Arr%20Petition%202003-04/For%20Submission/ARR%20Forms%20For%20Submissi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ameer's%20folder/MSEB/Tariff%20Filing%202003-04/Outputs/Models/Working%20Models/old/Dispatch%20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Performance/PERFORMANCE/ocm/Yearly_perf/OCMJAN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h1/EMAIL/Performance/PERFORMANCE/ocm/Yearly_perf/OCMJAN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10/c/WINDOWS/Desktop/Latest%20revised%20Cost%20Estimates%20for%20Subs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GRID%20Energy/Work/MSPGCL%20True%20Up%20Fy%202010-11/Earlier%20Orders/EXCEL%20MODELS%20FINAL/PwC_MSPGCL_20.12.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server/btps%20temp%20data/EFFY/Effy-Cost%20DD/Yearly%20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server/Users/skedia/Documents/MSPGCL%20FY12%20ARR%20Petition%20and%20Model%2031Mar11/ARR%20formats%20SM%2029Mar1940_ol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126/perf/Performance/PERFORMANCE/CE_FILE/Erai_dam/Water%20_balance_Dec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server/Users/skedia/Desktop/MSPGCL%20Main%20Folder/Revised%20True-up%20&amp;%20APR/Workings/Annexure%202_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 val="A 3.7"/>
      <sheetName val="CE"/>
      <sheetName val="201-04REL-Final"/>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input"/>
      <sheetName val="Daily report"/>
      <sheetName val="OCM2"/>
      <sheetName val="OCM4"/>
      <sheetName val="OCM1"/>
      <sheetName val="OCM3"/>
      <sheetName val="OCM5"/>
      <sheetName val="OCM7"/>
      <sheetName val="INDEX"/>
      <sheetName val="OCM6"/>
      <sheetName val="highlight"/>
      <sheetName val="water"/>
      <sheetName val="AWARD"/>
      <sheetName val="CE"/>
      <sheetName val="hrawd"/>
      <sheetName val="Assumptions"/>
      <sheetName val="A 3.7"/>
      <sheetName val="water_bal"/>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input"/>
      <sheetName val="Daily report"/>
      <sheetName val="OCM2"/>
      <sheetName val="OCM4"/>
      <sheetName val="OCM1"/>
      <sheetName val="OCM3"/>
      <sheetName val="OCM5"/>
      <sheetName val="OCM7"/>
      <sheetName val="INDEX"/>
      <sheetName val="OCM6"/>
      <sheetName val="highlight"/>
      <sheetName val="water"/>
      <sheetName val="AWARD"/>
      <sheetName val="CE"/>
      <sheetName val="hrawd"/>
      <sheetName val="04REL"/>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input"/>
      <sheetName val="Daily report"/>
      <sheetName val="OCM2"/>
      <sheetName val="OCM4"/>
      <sheetName val="OCM1"/>
      <sheetName val="OCM3"/>
      <sheetName val="OCM5"/>
      <sheetName val="OCM7"/>
      <sheetName val="INDEX"/>
      <sheetName val="OCM6"/>
      <sheetName val="highlight"/>
      <sheetName val="water"/>
      <sheetName val="AWARD"/>
      <sheetName val="CE"/>
      <sheetName val="hrawd"/>
      <sheetName val="2000-01"/>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 val="Addl_40"/>
      <sheetName val="Unit_Rate"/>
      <sheetName val="160MVA_Addl"/>
      <sheetName val="220KV_FB"/>
      <sheetName val="315MVA_Addl"/>
      <sheetName val="Addl_401"/>
      <sheetName val="Addl_20"/>
      <sheetName val="Addl_63_(2)"/>
      <sheetName val="132kv DCDS"/>
      <sheetName val=""/>
      <sheetName val="04REL"/>
      <sheetName val="A 3_7"/>
      <sheetName val="data"/>
      <sheetName val="Data base Feb 09"/>
      <sheetName val="grid"/>
      <sheetName val="Salient1"/>
      <sheetName val="Cat_Ser_load"/>
      <sheetName val="Sheet1"/>
    </sheetNames>
    <sheetDataSet>
      <sheetData sheetId="0">
        <row r="38">
          <cell r="A38" t="str">
            <v xml:space="preserve">ESTIMATE FOR INSTALLATION OF ADDITIONAL 1X40MVA 132/33KV TRANSFORMER AT EXISTING EHV SUBSTATION </v>
          </cell>
        </row>
      </sheetData>
      <sheetData sheetId="1">
        <row r="38">
          <cell r="A38" t="str">
            <v xml:space="preserve">ESTIMATE FOR INSTALLATION OF ADDITIONAL 1X40MVA 132/33KV TRANSFORMER AT EXISTING EHV SUBSTATION </v>
          </cell>
        </row>
      </sheetData>
      <sheetData sheetId="2">
        <row r="38">
          <cell r="A38" t="str">
            <v xml:space="preserve">ESTIMATE FOR INSTALLATION OF ADDITIONAL 1X40MVA 132/33KV TRANSFORMER AT EXISTING EHV SUBSTATION </v>
          </cell>
        </row>
      </sheetData>
      <sheetData sheetId="3"/>
      <sheetData sheetId="4"/>
      <sheetData sheetId="5"/>
      <sheetData sheetId="6"/>
      <sheetData sheetId="7"/>
      <sheetData sheetId="8"/>
      <sheetData sheetId="9"/>
      <sheetData sheetId="10"/>
      <sheetData sheetId="11"/>
      <sheetData sheetId="12">
        <row r="38">
          <cell r="A38" t="str">
            <v xml:space="preserve">ESTIMATE FOR INSTALLATION OF ADDITIONAL 1X40MVA 132/33KV TRANSFORMER AT EXISTING EHV SUBSTATION </v>
          </cell>
        </row>
        <row r="39">
          <cell r="A39" t="str">
            <v>ESTIMATE FOR INSTALLATION OF ADDITIONAL 1X40MVA 132/33KV TRANSFORMER AT EXISTING EHV SUBSTATION</v>
          </cell>
        </row>
        <row r="40">
          <cell r="A40" t="str">
            <v>SCHEDULE</v>
          </cell>
        </row>
        <row r="41">
          <cell r="A41" t="str">
            <v>SCHEDULE</v>
          </cell>
        </row>
        <row r="42">
          <cell r="A42" t="str">
            <v>TOTAL NO. OF LOCATIONS</v>
          </cell>
          <cell r="B42">
            <v>0</v>
          </cell>
          <cell r="C42">
            <v>1</v>
          </cell>
        </row>
        <row r="43">
          <cell r="C43">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5">
          <cell r="A45" t="str">
            <v>SNO</v>
          </cell>
          <cell r="B45" t="str">
            <v>PARTICULARS</v>
          </cell>
          <cell r="C45" t="str">
            <v>Quantity</v>
          </cell>
          <cell r="D45" t="str">
            <v>EX-W Rate</v>
          </cell>
          <cell r="E45" t="str">
            <v>EX-W Amount</v>
          </cell>
          <cell r="F45" t="str">
            <v>Other Rate</v>
          </cell>
          <cell r="G45" t="str">
            <v>Other Amount</v>
          </cell>
          <cell r="H45" t="str">
            <v>Total Rate</v>
          </cell>
          <cell r="I45" t="str">
            <v>Total Amount</v>
          </cell>
        </row>
        <row r="46">
          <cell r="A46" t="str">
            <v>(A)</v>
          </cell>
          <cell r="B46" t="str">
            <v>220KV EQUIPMENTS</v>
          </cell>
        </row>
        <row r="47">
          <cell r="A47" t="str">
            <v>(A)</v>
          </cell>
          <cell r="B47"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1">
          <cell r="A61">
            <v>13</v>
          </cell>
          <cell r="B61" t="str">
            <v>Double Tension String with H/W</v>
          </cell>
          <cell r="C61">
            <v>0</v>
          </cell>
          <cell r="D61">
            <v>0.114685</v>
          </cell>
          <cell r="E61">
            <v>0</v>
          </cell>
          <cell r="F61">
            <v>1.1599999999999999E-2</v>
          </cell>
          <cell r="G61">
            <v>0</v>
          </cell>
          <cell r="H61">
            <v>0.12628500000000001</v>
          </cell>
          <cell r="I61">
            <v>0</v>
          </cell>
        </row>
        <row r="62">
          <cell r="B62" t="str">
            <v>SUB TOTAL (A)</v>
          </cell>
          <cell r="C62" t="str">
            <v/>
          </cell>
          <cell r="D62">
            <v>0</v>
          </cell>
          <cell r="E62">
            <v>0</v>
          </cell>
          <cell r="F62">
            <v>0</v>
          </cell>
          <cell r="G62">
            <v>0</v>
          </cell>
          <cell r="H62">
            <v>0</v>
          </cell>
          <cell r="I62">
            <v>0</v>
          </cell>
        </row>
        <row r="63">
          <cell r="I63">
            <v>0</v>
          </cell>
        </row>
        <row r="64">
          <cell r="A64" t="str">
            <v>(B)</v>
          </cell>
          <cell r="B64" t="str">
            <v>132KV EQUIPMENTS</v>
          </cell>
        </row>
        <row r="65">
          <cell r="A65" t="str">
            <v>(B)</v>
          </cell>
          <cell r="B65"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79">
          <cell r="A79">
            <v>13</v>
          </cell>
          <cell r="B79" t="str">
            <v>Double Tension String with H/W</v>
          </cell>
          <cell r="C79">
            <v>8</v>
          </cell>
          <cell r="D79">
            <v>5.9319999999999998E-2</v>
          </cell>
          <cell r="E79">
            <v>0.47455999999999998</v>
          </cell>
          <cell r="F79">
            <v>6.992E-3</v>
          </cell>
          <cell r="G79">
            <v>5.5939999999999997E-2</v>
          </cell>
          <cell r="H79">
            <v>6.6311999999999996E-2</v>
          </cell>
          <cell r="I79">
            <v>0.53049999999999997</v>
          </cell>
        </row>
        <row r="80">
          <cell r="B80" t="str">
            <v>SUB TOTAL (B)</v>
          </cell>
          <cell r="C80">
            <v>0</v>
          </cell>
          <cell r="D80">
            <v>0</v>
          </cell>
          <cell r="E80">
            <v>18.909721452513967</v>
          </cell>
          <cell r="F80">
            <v>0</v>
          </cell>
          <cell r="G80">
            <v>1.801389441340782</v>
          </cell>
          <cell r="H80">
            <v>0</v>
          </cell>
          <cell r="I80">
            <v>20.711110893854752</v>
          </cell>
        </row>
        <row r="81">
          <cell r="I81">
            <v>20.711110999999999</v>
          </cell>
        </row>
        <row r="82">
          <cell r="A82" t="str">
            <v>(C)</v>
          </cell>
          <cell r="B82" t="str">
            <v>33KV EQUIPMENTS</v>
          </cell>
        </row>
        <row r="83">
          <cell r="A83" t="str">
            <v>(C)</v>
          </cell>
          <cell r="B83"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5">
          <cell r="A95">
            <v>11</v>
          </cell>
          <cell r="B95" t="str">
            <v>Double Tension String with H/W</v>
          </cell>
          <cell r="C95">
            <v>8</v>
          </cell>
          <cell r="D95">
            <v>1.038E-2</v>
          </cell>
          <cell r="E95">
            <v>0.12456</v>
          </cell>
          <cell r="F95">
            <v>4.5999999999999999E-3</v>
          </cell>
          <cell r="G95">
            <v>5.5199999999999999E-2</v>
          </cell>
          <cell r="H95">
            <v>1.498E-2</v>
          </cell>
          <cell r="I95">
            <v>0.17976</v>
          </cell>
        </row>
        <row r="96">
          <cell r="B96" t="str">
            <v>SUB TOTAL (C)</v>
          </cell>
          <cell r="C96">
            <v>0</v>
          </cell>
          <cell r="D96">
            <v>0</v>
          </cell>
          <cell r="E96">
            <v>5.0827799999999996</v>
          </cell>
          <cell r="F96">
            <v>0</v>
          </cell>
          <cell r="G96">
            <v>0.37859999999999994</v>
          </cell>
          <cell r="H96">
            <v>0</v>
          </cell>
          <cell r="I96">
            <v>5.4613800000000001</v>
          </cell>
        </row>
        <row r="97">
          <cell r="I97">
            <v>5.4613800000000001</v>
          </cell>
        </row>
        <row r="98">
          <cell r="A98" t="str">
            <v>(D)</v>
          </cell>
          <cell r="B98" t="str">
            <v>TRANSFORMER &amp; ASSOCIATED EQUIP.</v>
          </cell>
        </row>
        <row r="99">
          <cell r="A99" t="str">
            <v>(D)</v>
          </cell>
          <cell r="B99" t="str">
            <v>TRANSFORMER &amp; ASSOCIATED EQUIP.</v>
          </cell>
        </row>
        <row r="100">
          <cell r="A100">
            <v>1</v>
          </cell>
          <cell r="B100" t="str">
            <v>160MVA 220/132KV Xmer(with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4">
          <cell r="A104">
            <v>4</v>
          </cell>
          <cell r="B104" t="str">
            <v>Oil Storage Tank (15/20 KL)</v>
          </cell>
          <cell r="C104">
            <v>0</v>
          </cell>
          <cell r="D104">
            <v>0</v>
          </cell>
          <cell r="E104">
            <v>0</v>
          </cell>
          <cell r="F104">
            <v>2</v>
          </cell>
          <cell r="G104">
            <v>0</v>
          </cell>
          <cell r="H104">
            <v>2</v>
          </cell>
          <cell r="I104">
            <v>0</v>
          </cell>
        </row>
        <row r="105">
          <cell r="B105" t="str">
            <v>SUB TOTAL (D)</v>
          </cell>
          <cell r="C105">
            <v>0</v>
          </cell>
          <cell r="D105">
            <v>0</v>
          </cell>
          <cell r="E105">
            <v>126.63249344262296</v>
          </cell>
          <cell r="F105">
            <v>0</v>
          </cell>
          <cell r="G105">
            <v>8.816557377049179</v>
          </cell>
          <cell r="H105">
            <v>0</v>
          </cell>
          <cell r="I105">
            <v>135.44905081967212</v>
          </cell>
        </row>
        <row r="106">
          <cell r="I106">
            <v>135.449051</v>
          </cell>
        </row>
        <row r="107">
          <cell r="A107" t="str">
            <v>(E)</v>
          </cell>
          <cell r="B107" t="str">
            <v xml:space="preserve">220KV &amp;132KV Carrier Comm.Equip.including provision for </v>
          </cell>
        </row>
        <row r="108">
          <cell r="B108" t="str">
            <v>telemetering etc.&amp; sending s/ss reqmnt</v>
          </cell>
        </row>
        <row r="109">
          <cell r="B109"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1">
          <cell r="A121">
            <v>11</v>
          </cell>
          <cell r="B121" t="str">
            <v>132kV Coupling Capacitors</v>
          </cell>
          <cell r="C121">
            <v>0</v>
          </cell>
          <cell r="D121">
            <v>1</v>
          </cell>
          <cell r="E121">
            <v>0</v>
          </cell>
          <cell r="F121">
            <v>0</v>
          </cell>
          <cell r="G121">
            <v>0</v>
          </cell>
          <cell r="H121">
            <v>1</v>
          </cell>
          <cell r="I121">
            <v>0</v>
          </cell>
        </row>
        <row r="122">
          <cell r="B122" t="str">
            <v>SUB TOTAL (E)</v>
          </cell>
          <cell r="C122">
            <v>0</v>
          </cell>
          <cell r="D122">
            <v>0</v>
          </cell>
          <cell r="E122">
            <v>0</v>
          </cell>
          <cell r="F122">
            <v>0</v>
          </cell>
          <cell r="G122">
            <v>0</v>
          </cell>
          <cell r="H122">
            <v>0</v>
          </cell>
          <cell r="I122">
            <v>0</v>
          </cell>
        </row>
        <row r="123">
          <cell r="I123">
            <v>0</v>
          </cell>
        </row>
        <row r="124">
          <cell r="A124" t="str">
            <v>(F-I)</v>
          </cell>
          <cell r="B124" t="str">
            <v>220KV Structures</v>
          </cell>
          <cell r="C124" t="str">
            <v>Weight of Steel in MT</v>
          </cell>
        </row>
        <row r="125">
          <cell r="A125" t="str">
            <v>(F-I)</v>
          </cell>
          <cell r="B125" t="str">
            <v>220KV Structures</v>
          </cell>
          <cell r="C125"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6">
          <cell r="A136">
            <v>10</v>
          </cell>
          <cell r="B136" t="str">
            <v>PT/CVT structure</v>
          </cell>
          <cell r="C136">
            <v>0</v>
          </cell>
          <cell r="D136">
            <v>0.27</v>
          </cell>
          <cell r="E136">
            <v>0</v>
          </cell>
        </row>
        <row r="137">
          <cell r="B137" t="str">
            <v>SUB TOTAL (F-I)</v>
          </cell>
          <cell r="C137">
            <v>0</v>
          </cell>
          <cell r="D137">
            <v>0</v>
          </cell>
          <cell r="E137">
            <v>0</v>
          </cell>
        </row>
        <row r="138">
          <cell r="E138">
            <v>0</v>
          </cell>
        </row>
        <row r="139">
          <cell r="A139" t="str">
            <v>(F-II)</v>
          </cell>
          <cell r="B139" t="str">
            <v>132KV STRUCTURE</v>
          </cell>
        </row>
        <row r="140">
          <cell r="A140" t="str">
            <v>(F-II)</v>
          </cell>
          <cell r="B140"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1">
          <cell r="A151">
            <v>10</v>
          </cell>
          <cell r="B151" t="str">
            <v>PT structure</v>
          </cell>
          <cell r="C151">
            <v>0</v>
          </cell>
          <cell r="D151">
            <v>0.22700000000000001</v>
          </cell>
          <cell r="E151">
            <v>0</v>
          </cell>
        </row>
        <row r="152">
          <cell r="B152" t="str">
            <v>SUB TOTAL (F-II)</v>
          </cell>
          <cell r="C152">
            <v>0</v>
          </cell>
          <cell r="D152">
            <v>0</v>
          </cell>
          <cell r="E152">
            <v>18.798999999999999</v>
          </cell>
        </row>
        <row r="153">
          <cell r="E153">
            <v>18.798999999999999</v>
          </cell>
        </row>
        <row r="154">
          <cell r="A154" t="str">
            <v>(F-III)</v>
          </cell>
          <cell r="B154" t="str">
            <v>33KV STRUCTURE</v>
          </cell>
        </row>
        <row r="155">
          <cell r="A155" t="str">
            <v>(F-III)</v>
          </cell>
          <cell r="B155"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5">
          <cell r="A165">
            <v>9</v>
          </cell>
          <cell r="B165" t="str">
            <v>Post Insulator structure</v>
          </cell>
          <cell r="C165">
            <v>0</v>
          </cell>
          <cell r="D165">
            <v>0.1</v>
          </cell>
          <cell r="E165">
            <v>0</v>
          </cell>
        </row>
        <row r="166">
          <cell r="B166" t="str">
            <v>SUB TOTAL (F-III)</v>
          </cell>
          <cell r="C166">
            <v>0</v>
          </cell>
          <cell r="D166">
            <v>0</v>
          </cell>
          <cell r="E166">
            <v>3.7690000000000001</v>
          </cell>
        </row>
        <row r="167">
          <cell r="G167" t="str">
            <v>LS</v>
          </cell>
        </row>
        <row r="168">
          <cell r="B168" t="str">
            <v>SUB TOTAL F(I)+F(II)+F(III)</v>
          </cell>
          <cell r="C168">
            <v>0</v>
          </cell>
          <cell r="D168">
            <v>0</v>
          </cell>
          <cell r="E168">
            <v>22.567999999999998</v>
          </cell>
        </row>
        <row r="169">
          <cell r="E169">
            <v>22.568000000000001</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1">
          <cell r="B171" t="str">
            <v>TOTAL  COST OF STEEL (F)</v>
          </cell>
          <cell r="C171">
            <v>22.568000000000001</v>
          </cell>
          <cell r="D171">
            <v>0.260963</v>
          </cell>
          <cell r="E171">
            <v>5.8894190000000002</v>
          </cell>
          <cell r="F171">
            <v>9.0939999999999997E-3</v>
          </cell>
          <cell r="G171">
            <v>0.205231</v>
          </cell>
          <cell r="H171">
            <v>0.27005699999999999</v>
          </cell>
          <cell r="I171">
            <v>6.0946499999999997</v>
          </cell>
        </row>
        <row r="172">
          <cell r="A172" t="str">
            <v>G</v>
          </cell>
          <cell r="B172" t="str">
            <v>BUSBAR, EARTHING MATERIAL</v>
          </cell>
          <cell r="C172">
            <v>0</v>
          </cell>
          <cell r="D172">
            <v>0</v>
          </cell>
          <cell r="E172">
            <v>0</v>
          </cell>
          <cell r="F172">
            <v>0</v>
          </cell>
          <cell r="G172">
            <v>0</v>
          </cell>
          <cell r="H172">
            <v>0</v>
          </cell>
          <cell r="I172" t="str">
            <v/>
          </cell>
        </row>
        <row r="173">
          <cell r="I173">
            <v>0</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F178">
            <v>0</v>
          </cell>
          <cell r="G178">
            <v>0</v>
          </cell>
          <cell r="H178" t="str">
            <v>LS</v>
          </cell>
          <cell r="I178">
            <v>0.2</v>
          </cell>
        </row>
        <row r="179">
          <cell r="A179">
            <v>6</v>
          </cell>
          <cell r="B179" t="str">
            <v>Junction Box etc. &amp; Misc.expendtirues</v>
          </cell>
          <cell r="C179" t="str">
            <v>LS</v>
          </cell>
          <cell r="D179">
            <v>0.5</v>
          </cell>
          <cell r="E179">
            <v>0.5</v>
          </cell>
          <cell r="F179">
            <v>0</v>
          </cell>
          <cell r="G179">
            <v>0</v>
          </cell>
          <cell r="H179" t="str">
            <v>LS</v>
          </cell>
          <cell r="I179">
            <v>0.5</v>
          </cell>
        </row>
        <row r="180">
          <cell r="A180">
            <v>7</v>
          </cell>
          <cell r="B180" t="str">
            <v>Fire fighting equipments</v>
          </cell>
          <cell r="C180" t="str">
            <v>LS</v>
          </cell>
          <cell r="D180">
            <v>0</v>
          </cell>
          <cell r="E180">
            <v>0</v>
          </cell>
          <cell r="F180">
            <v>0</v>
          </cell>
          <cell r="G180">
            <v>0</v>
          </cell>
          <cell r="H180" t="str">
            <v>LS</v>
          </cell>
          <cell r="I180">
            <v>0</v>
          </cell>
        </row>
        <row r="181">
          <cell r="A181">
            <v>8</v>
          </cell>
          <cell r="B181" t="str">
            <v>Aluminium/Red Oxide Paint and Nut,Bolt,Washers &amp; other misc. material</v>
          </cell>
          <cell r="C181" t="str">
            <v>LS</v>
          </cell>
          <cell r="D181">
            <v>0</v>
          </cell>
          <cell r="E181">
            <v>0</v>
          </cell>
          <cell r="F181">
            <v>0.1</v>
          </cell>
          <cell r="G181">
            <v>0.1</v>
          </cell>
          <cell r="H181" t="str">
            <v>LS</v>
          </cell>
          <cell r="I181">
            <v>0.1</v>
          </cell>
        </row>
        <row r="182">
          <cell r="E182">
            <v>0</v>
          </cell>
          <cell r="F182">
            <v>0.1</v>
          </cell>
          <cell r="G182">
            <v>0.1</v>
          </cell>
          <cell r="H182" t="str">
            <v>LS</v>
          </cell>
          <cell r="I182">
            <v>0.1</v>
          </cell>
        </row>
        <row r="183">
          <cell r="B183" t="str">
            <v>SUB TOTAL (G)</v>
          </cell>
          <cell r="C183">
            <v>0</v>
          </cell>
          <cell r="D183">
            <v>0</v>
          </cell>
          <cell r="E183">
            <v>3.4125500000000004</v>
          </cell>
          <cell r="F183">
            <v>0</v>
          </cell>
          <cell r="G183">
            <v>0.26250000000000001</v>
          </cell>
          <cell r="H183">
            <v>0</v>
          </cell>
          <cell r="I183">
            <v>3.6750500000000001</v>
          </cell>
        </row>
        <row r="184">
          <cell r="I184">
            <v>3.6750500000000001</v>
          </cell>
        </row>
        <row r="185">
          <cell r="A185" t="str">
            <v>H</v>
          </cell>
          <cell r="B185" t="str">
            <v>AC/DC SUPPLY</v>
          </cell>
          <cell r="C185">
            <v>0</v>
          </cell>
          <cell r="D185">
            <v>0</v>
          </cell>
          <cell r="E185">
            <v>0</v>
          </cell>
          <cell r="F185">
            <v>0</v>
          </cell>
          <cell r="G185">
            <v>0</v>
          </cell>
          <cell r="H185">
            <v>0</v>
          </cell>
          <cell r="I185" t="str">
            <v/>
          </cell>
        </row>
        <row r="186">
          <cell r="I186">
            <v>0</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D192">
            <v>0</v>
          </cell>
          <cell r="E192">
            <v>0</v>
          </cell>
          <cell r="F192">
            <v>1.25</v>
          </cell>
          <cell r="G192">
            <v>0</v>
          </cell>
          <cell r="H192">
            <v>1.25</v>
          </cell>
          <cell r="I192">
            <v>0</v>
          </cell>
        </row>
        <row r="193">
          <cell r="A193">
            <v>7</v>
          </cell>
          <cell r="B193" t="str">
            <v>Arrangement of Lighting in S/s</v>
          </cell>
          <cell r="C193" t="str">
            <v>LS</v>
          </cell>
          <cell r="D193">
            <v>0</v>
          </cell>
          <cell r="E193">
            <v>0</v>
          </cell>
          <cell r="F193">
            <v>0</v>
          </cell>
          <cell r="G193">
            <v>0</v>
          </cell>
          <cell r="H193" t="str">
            <v>LS</v>
          </cell>
          <cell r="I193">
            <v>0</v>
          </cell>
        </row>
        <row r="194">
          <cell r="E194">
            <v>0</v>
          </cell>
          <cell r="F194">
            <v>0</v>
          </cell>
          <cell r="G194">
            <v>0</v>
          </cell>
          <cell r="H194" t="str">
            <v>LS</v>
          </cell>
          <cell r="I194">
            <v>0</v>
          </cell>
        </row>
        <row r="195">
          <cell r="B195" t="str">
            <v>SUB TOTAL (H)</v>
          </cell>
          <cell r="C195">
            <v>0</v>
          </cell>
          <cell r="D195">
            <v>0</v>
          </cell>
          <cell r="E195">
            <v>0</v>
          </cell>
          <cell r="F195">
            <v>0</v>
          </cell>
          <cell r="G195">
            <v>0</v>
          </cell>
          <cell r="H195">
            <v>0</v>
          </cell>
          <cell r="I195">
            <v>0</v>
          </cell>
        </row>
        <row r="196">
          <cell r="I196">
            <v>0</v>
          </cell>
        </row>
        <row r="197">
          <cell r="A197" t="str">
            <v>I</v>
          </cell>
          <cell r="B197" t="str">
            <v>CIVIL WORKS</v>
          </cell>
          <cell r="C197">
            <v>0</v>
          </cell>
          <cell r="D197">
            <v>0</v>
          </cell>
          <cell r="E197">
            <v>0</v>
          </cell>
          <cell r="F197">
            <v>0</v>
          </cell>
          <cell r="G197">
            <v>0</v>
          </cell>
          <cell r="H197">
            <v>0</v>
          </cell>
          <cell r="I197" t="str">
            <v/>
          </cell>
        </row>
        <row r="198">
          <cell r="A198" t="str">
            <v/>
          </cell>
          <cell r="B198" t="str">
            <v xml:space="preserve">Foundation work of </v>
          </cell>
          <cell r="C198">
            <v>0</v>
          </cell>
          <cell r="D198">
            <v>0</v>
          </cell>
          <cell r="E198">
            <v>0</v>
          </cell>
          <cell r="F198">
            <v>0</v>
          </cell>
          <cell r="G198">
            <v>0</v>
          </cell>
          <cell r="H198">
            <v>0</v>
          </cell>
          <cell r="I198" t="str">
            <v/>
          </cell>
        </row>
        <row r="199">
          <cell r="I199">
            <v>0</v>
          </cell>
        </row>
        <row r="200">
          <cell r="A200">
            <v>1</v>
          </cell>
          <cell r="B200" t="str">
            <v>Gantry Column(AGT)</v>
          </cell>
          <cell r="C200">
            <v>0</v>
          </cell>
          <cell r="D200">
            <v>0</v>
          </cell>
          <cell r="E200">
            <v>0</v>
          </cell>
          <cell r="F200">
            <v>0.28000000000000003</v>
          </cell>
          <cell r="G200">
            <v>0</v>
          </cell>
          <cell r="H200">
            <v>0.28000000000000003</v>
          </cell>
          <cell r="I200">
            <v>0</v>
          </cell>
        </row>
        <row r="201">
          <cell r="A201">
            <v>2</v>
          </cell>
          <cell r="B201" t="str">
            <v>Gantry Column(AAGT)</v>
          </cell>
          <cell r="C201">
            <v>0</v>
          </cell>
          <cell r="D201">
            <v>0</v>
          </cell>
          <cell r="E201">
            <v>0</v>
          </cell>
          <cell r="F201">
            <v>0.28000000000000003</v>
          </cell>
          <cell r="G201">
            <v>0</v>
          </cell>
          <cell r="H201">
            <v>0.28000000000000003</v>
          </cell>
          <cell r="I201">
            <v>0</v>
          </cell>
        </row>
        <row r="202">
          <cell r="A202">
            <v>3</v>
          </cell>
          <cell r="B202" t="str">
            <v>220KV Main Busbar</v>
          </cell>
          <cell r="C202">
            <v>0</v>
          </cell>
          <cell r="D202">
            <v>0</v>
          </cell>
          <cell r="E202">
            <v>0</v>
          </cell>
          <cell r="F202">
            <v>0.191</v>
          </cell>
          <cell r="G202">
            <v>0</v>
          </cell>
          <cell r="H202">
            <v>0.191</v>
          </cell>
          <cell r="I202">
            <v>0</v>
          </cell>
        </row>
        <row r="203">
          <cell r="A203">
            <v>4</v>
          </cell>
          <cell r="B203" t="str">
            <v xml:space="preserve">220KV Aux.Busbar </v>
          </cell>
          <cell r="C203">
            <v>0</v>
          </cell>
          <cell r="D203">
            <v>0</v>
          </cell>
          <cell r="E203">
            <v>0</v>
          </cell>
          <cell r="F203">
            <v>0.21</v>
          </cell>
          <cell r="G203">
            <v>0</v>
          </cell>
          <cell r="H203">
            <v>0.21</v>
          </cell>
          <cell r="I203">
            <v>0</v>
          </cell>
        </row>
        <row r="204">
          <cell r="A204">
            <v>5</v>
          </cell>
          <cell r="B204" t="str">
            <v>220KV Isolator</v>
          </cell>
          <cell r="C204">
            <v>0</v>
          </cell>
          <cell r="D204">
            <v>0</v>
          </cell>
          <cell r="E204">
            <v>0</v>
          </cell>
          <cell r="F204">
            <v>0.16500000000000001</v>
          </cell>
          <cell r="G204">
            <v>0</v>
          </cell>
          <cell r="H204">
            <v>0.16500000000000001</v>
          </cell>
          <cell r="I204">
            <v>0</v>
          </cell>
        </row>
        <row r="205">
          <cell r="A205">
            <v>6</v>
          </cell>
          <cell r="B205" t="str">
            <v>220KV CB</v>
          </cell>
          <cell r="C205">
            <v>0</v>
          </cell>
          <cell r="D205">
            <v>0</v>
          </cell>
          <cell r="E205">
            <v>0</v>
          </cell>
          <cell r="F205">
            <v>0.311</v>
          </cell>
          <cell r="G205">
            <v>0</v>
          </cell>
          <cell r="H205">
            <v>0.311</v>
          </cell>
          <cell r="I205">
            <v>0</v>
          </cell>
        </row>
        <row r="206">
          <cell r="A206">
            <v>7</v>
          </cell>
          <cell r="B206" t="str">
            <v>220KV CT</v>
          </cell>
          <cell r="C206">
            <v>0</v>
          </cell>
          <cell r="D206">
            <v>0</v>
          </cell>
          <cell r="E206">
            <v>0</v>
          </cell>
          <cell r="F206">
            <v>0.05</v>
          </cell>
          <cell r="G206">
            <v>0</v>
          </cell>
          <cell r="H206">
            <v>0.05</v>
          </cell>
          <cell r="I206">
            <v>0</v>
          </cell>
        </row>
        <row r="207">
          <cell r="A207">
            <v>8</v>
          </cell>
          <cell r="B207" t="str">
            <v>220KV CVT/PT</v>
          </cell>
          <cell r="C207">
            <v>0</v>
          </cell>
          <cell r="D207">
            <v>0</v>
          </cell>
          <cell r="E207">
            <v>0</v>
          </cell>
          <cell r="F207">
            <v>0.05</v>
          </cell>
          <cell r="G207">
            <v>0</v>
          </cell>
          <cell r="H207">
            <v>0.05</v>
          </cell>
          <cell r="I207">
            <v>0</v>
          </cell>
        </row>
        <row r="208">
          <cell r="A208">
            <v>9</v>
          </cell>
          <cell r="B208" t="str">
            <v>220KV LA</v>
          </cell>
          <cell r="C208">
            <v>0</v>
          </cell>
          <cell r="D208">
            <v>0</v>
          </cell>
          <cell r="E208">
            <v>0</v>
          </cell>
          <cell r="F208">
            <v>2.5000000000000001E-2</v>
          </cell>
          <cell r="G208">
            <v>0</v>
          </cell>
          <cell r="H208">
            <v>2.5000000000000001E-2</v>
          </cell>
          <cell r="I208">
            <v>0</v>
          </cell>
        </row>
        <row r="209">
          <cell r="A209">
            <v>10</v>
          </cell>
          <cell r="B209" t="str">
            <v>220KV Post/Solid Core Insulators</v>
          </cell>
          <cell r="C209">
            <v>0</v>
          </cell>
          <cell r="D209">
            <v>0</v>
          </cell>
          <cell r="E209">
            <v>0</v>
          </cell>
          <cell r="F209">
            <v>0.06</v>
          </cell>
          <cell r="G209">
            <v>0</v>
          </cell>
          <cell r="H209">
            <v>0.06</v>
          </cell>
          <cell r="I209">
            <v>0</v>
          </cell>
        </row>
        <row r="210">
          <cell r="A210">
            <v>11</v>
          </cell>
          <cell r="B210" t="str">
            <v>160MVA transformer</v>
          </cell>
          <cell r="C210">
            <v>0</v>
          </cell>
          <cell r="D210">
            <v>0</v>
          </cell>
          <cell r="E210">
            <v>0</v>
          </cell>
          <cell r="F210">
            <v>0.54</v>
          </cell>
          <cell r="G210">
            <v>0</v>
          </cell>
          <cell r="H210">
            <v>0.54</v>
          </cell>
          <cell r="I210">
            <v>0</v>
          </cell>
        </row>
        <row r="211">
          <cell r="A211">
            <v>12</v>
          </cell>
          <cell r="B211" t="str">
            <v>40MVA transformer</v>
          </cell>
          <cell r="C211">
            <v>1</v>
          </cell>
          <cell r="D211">
            <v>0</v>
          </cell>
          <cell r="E211">
            <v>0</v>
          </cell>
          <cell r="F211">
            <v>0.53</v>
          </cell>
          <cell r="G211">
            <v>0.53</v>
          </cell>
          <cell r="H211">
            <v>0.53</v>
          </cell>
          <cell r="I211">
            <v>0.53</v>
          </cell>
        </row>
        <row r="212">
          <cell r="A212">
            <v>13</v>
          </cell>
          <cell r="B212" t="str">
            <v>132KV Gantry</v>
          </cell>
          <cell r="C212">
            <v>4</v>
          </cell>
          <cell r="D212">
            <v>0</v>
          </cell>
          <cell r="E212">
            <v>0</v>
          </cell>
          <cell r="F212">
            <v>0.3</v>
          </cell>
          <cell r="G212">
            <v>1.2</v>
          </cell>
          <cell r="H212">
            <v>0.3</v>
          </cell>
          <cell r="I212">
            <v>1.2</v>
          </cell>
        </row>
        <row r="213">
          <cell r="A213">
            <v>14</v>
          </cell>
          <cell r="B213" t="str">
            <v xml:space="preserve">132KV main busbar foundation </v>
          </cell>
          <cell r="C213">
            <v>1</v>
          </cell>
          <cell r="D213">
            <v>0</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D214">
            <v>0</v>
          </cell>
          <cell r="E214">
            <v>0</v>
          </cell>
          <cell r="F214">
            <v>0.121</v>
          </cell>
          <cell r="G214">
            <v>0</v>
          </cell>
          <cell r="H214">
            <v>0.121</v>
          </cell>
          <cell r="I214">
            <v>0</v>
          </cell>
        </row>
        <row r="215">
          <cell r="A215">
            <v>16</v>
          </cell>
          <cell r="B215" t="str">
            <v>132KV Isolator</v>
          </cell>
          <cell r="C215">
            <v>3</v>
          </cell>
          <cell r="D215">
            <v>0</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D216">
            <v>0</v>
          </cell>
          <cell r="E216">
            <v>0</v>
          </cell>
          <cell r="F216">
            <v>1.0999999999999999E-2</v>
          </cell>
          <cell r="G216">
            <v>3.3000000000000002E-2</v>
          </cell>
          <cell r="H216">
            <v>1.0999999999999999E-2</v>
          </cell>
          <cell r="I216">
            <v>3.3000000000000002E-2</v>
          </cell>
        </row>
        <row r="217">
          <cell r="A217">
            <v>18</v>
          </cell>
          <cell r="B217" t="str">
            <v>132KV CB</v>
          </cell>
          <cell r="C217">
            <v>1</v>
          </cell>
          <cell r="D217">
            <v>0</v>
          </cell>
          <cell r="E217">
            <v>0</v>
          </cell>
          <cell r="F217">
            <v>0.30499999999999999</v>
          </cell>
          <cell r="G217">
            <v>0.30499999999999999</v>
          </cell>
          <cell r="H217">
            <v>0.30499999999999999</v>
          </cell>
          <cell r="I217">
            <v>0.30499999999999999</v>
          </cell>
        </row>
        <row r="218">
          <cell r="A218">
            <v>19</v>
          </cell>
          <cell r="B218" t="str">
            <v>132KV CT</v>
          </cell>
          <cell r="C218">
            <v>3</v>
          </cell>
          <cell r="D218">
            <v>0</v>
          </cell>
          <cell r="E218">
            <v>0</v>
          </cell>
          <cell r="F218">
            <v>1.0999999999999999E-2</v>
          </cell>
          <cell r="G218">
            <v>3.3000000000000002E-2</v>
          </cell>
          <cell r="H218">
            <v>1.0999999999999999E-2</v>
          </cell>
          <cell r="I218">
            <v>3.3000000000000002E-2</v>
          </cell>
        </row>
        <row r="219">
          <cell r="A219">
            <v>20</v>
          </cell>
          <cell r="B219" t="str">
            <v>132KV LA</v>
          </cell>
          <cell r="C219">
            <v>3</v>
          </cell>
          <cell r="D219">
            <v>0</v>
          </cell>
          <cell r="E219">
            <v>0</v>
          </cell>
          <cell r="F219">
            <v>2.1000000000000001E-2</v>
          </cell>
          <cell r="G219">
            <v>6.3E-2</v>
          </cell>
          <cell r="H219">
            <v>2.1000000000000001E-2</v>
          </cell>
          <cell r="I219">
            <v>6.3E-2</v>
          </cell>
        </row>
        <row r="220">
          <cell r="A220">
            <v>21</v>
          </cell>
          <cell r="B220" t="str">
            <v>132KV PT</v>
          </cell>
          <cell r="C220">
            <v>0</v>
          </cell>
          <cell r="D220">
            <v>0</v>
          </cell>
          <cell r="E220">
            <v>0</v>
          </cell>
          <cell r="F220">
            <v>0.03</v>
          </cell>
          <cell r="G220">
            <v>0</v>
          </cell>
          <cell r="H220">
            <v>0.03</v>
          </cell>
          <cell r="I220">
            <v>0</v>
          </cell>
        </row>
        <row r="221">
          <cell r="A221">
            <v>22</v>
          </cell>
          <cell r="B221" t="str">
            <v>132KV CC</v>
          </cell>
          <cell r="C221">
            <v>0</v>
          </cell>
          <cell r="D221">
            <v>0</v>
          </cell>
          <cell r="E221">
            <v>0</v>
          </cell>
          <cell r="F221">
            <v>2.1000000000000001E-2</v>
          </cell>
          <cell r="G221">
            <v>0</v>
          </cell>
          <cell r="H221">
            <v>2.1000000000000001E-2</v>
          </cell>
          <cell r="I221">
            <v>0</v>
          </cell>
        </row>
        <row r="222">
          <cell r="A222">
            <v>23</v>
          </cell>
          <cell r="B222" t="str">
            <v xml:space="preserve">33KV Gantry </v>
          </cell>
          <cell r="C222">
            <v>2</v>
          </cell>
          <cell r="D222">
            <v>0</v>
          </cell>
          <cell r="E222">
            <v>0</v>
          </cell>
          <cell r="F222">
            <v>0.12</v>
          </cell>
          <cell r="G222">
            <v>0.24</v>
          </cell>
          <cell r="H222">
            <v>0.12</v>
          </cell>
          <cell r="I222">
            <v>0.24</v>
          </cell>
        </row>
        <row r="223">
          <cell r="A223">
            <v>24</v>
          </cell>
          <cell r="B223" t="str">
            <v>33KV main/aux. Busbar</v>
          </cell>
          <cell r="C223">
            <v>1</v>
          </cell>
          <cell r="D223">
            <v>0</v>
          </cell>
          <cell r="E223">
            <v>0</v>
          </cell>
          <cell r="F223">
            <v>0.34</v>
          </cell>
          <cell r="G223">
            <v>0.34</v>
          </cell>
          <cell r="H223">
            <v>0.34</v>
          </cell>
          <cell r="I223">
            <v>0.34</v>
          </cell>
        </row>
        <row r="224">
          <cell r="A224">
            <v>25</v>
          </cell>
          <cell r="B224" t="str">
            <v>33KV CB</v>
          </cell>
          <cell r="C224">
            <v>1</v>
          </cell>
          <cell r="D224">
            <v>0</v>
          </cell>
          <cell r="E224">
            <v>0</v>
          </cell>
          <cell r="F224">
            <v>5.5E-2</v>
          </cell>
          <cell r="G224">
            <v>5.5E-2</v>
          </cell>
          <cell r="H224">
            <v>5.5E-2</v>
          </cell>
          <cell r="I224">
            <v>5.5E-2</v>
          </cell>
        </row>
        <row r="225">
          <cell r="A225">
            <v>26</v>
          </cell>
          <cell r="B225" t="str">
            <v>33KV CT/PT/LA/PI</v>
          </cell>
          <cell r="C225">
            <v>6</v>
          </cell>
          <cell r="D225">
            <v>0</v>
          </cell>
          <cell r="E225">
            <v>0</v>
          </cell>
          <cell r="F225">
            <v>1.4999999999999999E-2</v>
          </cell>
          <cell r="G225">
            <v>0.09</v>
          </cell>
          <cell r="H225">
            <v>1.4999999999999999E-2</v>
          </cell>
          <cell r="I225">
            <v>0.09</v>
          </cell>
        </row>
        <row r="226">
          <cell r="A226">
            <v>27</v>
          </cell>
          <cell r="B226" t="str">
            <v>33KV Isolator</v>
          </cell>
          <cell r="C226">
            <v>2</v>
          </cell>
          <cell r="D226">
            <v>0</v>
          </cell>
          <cell r="E226">
            <v>0</v>
          </cell>
          <cell r="F226">
            <v>5.0999999999999997E-2</v>
          </cell>
          <cell r="G226">
            <v>0.10199999999999999</v>
          </cell>
          <cell r="H226">
            <v>5.0999999999999997E-2</v>
          </cell>
          <cell r="I226">
            <v>0.10199999999999999</v>
          </cell>
        </row>
        <row r="227">
          <cell r="A227">
            <v>28</v>
          </cell>
          <cell r="B227" t="str">
            <v>Control room type-V</v>
          </cell>
          <cell r="C227">
            <v>0</v>
          </cell>
          <cell r="D227">
            <v>0</v>
          </cell>
          <cell r="E227">
            <v>0</v>
          </cell>
          <cell r="F227">
            <v>15</v>
          </cell>
          <cell r="G227">
            <v>0</v>
          </cell>
          <cell r="H227">
            <v>15</v>
          </cell>
          <cell r="I227">
            <v>0</v>
          </cell>
        </row>
        <row r="228">
          <cell r="A228">
            <v>29</v>
          </cell>
          <cell r="B228" t="str">
            <v>Yard levelling,metalling &amp; misc. civil work</v>
          </cell>
          <cell r="C228" t="str">
            <v>LS</v>
          </cell>
          <cell r="D228">
            <v>0</v>
          </cell>
          <cell r="E228">
            <v>0</v>
          </cell>
          <cell r="F228">
            <v>0.5</v>
          </cell>
          <cell r="G228">
            <v>0.5</v>
          </cell>
          <cell r="H228" t="str">
            <v>LS</v>
          </cell>
          <cell r="I228">
            <v>0.5</v>
          </cell>
        </row>
        <row r="229">
          <cell r="A229">
            <v>30</v>
          </cell>
          <cell r="B229" t="str">
            <v>Water supply arrangement including overhead tank etc.</v>
          </cell>
          <cell r="C229" t="str">
            <v>LS</v>
          </cell>
          <cell r="D229">
            <v>0</v>
          </cell>
          <cell r="E229">
            <v>0</v>
          </cell>
          <cell r="F229">
            <v>0</v>
          </cell>
          <cell r="G229">
            <v>0</v>
          </cell>
          <cell r="H229" t="str">
            <v>LS</v>
          </cell>
          <cell r="I229">
            <v>0</v>
          </cell>
        </row>
        <row r="230">
          <cell r="A230">
            <v>31</v>
          </cell>
          <cell r="B230" t="str">
            <v>Earth pits</v>
          </cell>
          <cell r="C230" t="str">
            <v>LS</v>
          </cell>
          <cell r="D230">
            <v>0</v>
          </cell>
          <cell r="E230">
            <v>0</v>
          </cell>
          <cell r="F230">
            <v>0.2</v>
          </cell>
          <cell r="G230">
            <v>0.2</v>
          </cell>
          <cell r="H230" t="str">
            <v>LS</v>
          </cell>
          <cell r="I230">
            <v>0.2</v>
          </cell>
        </row>
        <row r="231">
          <cell r="A231">
            <v>32</v>
          </cell>
          <cell r="B231" t="str">
            <v>Four bay constn.shed</v>
          </cell>
          <cell r="C231">
            <v>0</v>
          </cell>
          <cell r="D231">
            <v>0</v>
          </cell>
          <cell r="E231">
            <v>0</v>
          </cell>
          <cell r="F231">
            <v>4.37</v>
          </cell>
          <cell r="G231">
            <v>0</v>
          </cell>
          <cell r="H231">
            <v>4.37</v>
          </cell>
          <cell r="I231">
            <v>0</v>
          </cell>
        </row>
        <row r="232">
          <cell r="A232">
            <v>33</v>
          </cell>
          <cell r="B232" t="str">
            <v>Cable Trenches</v>
          </cell>
          <cell r="C232" t="str">
            <v>LS</v>
          </cell>
          <cell r="D232">
            <v>0</v>
          </cell>
          <cell r="E232">
            <v>0</v>
          </cell>
          <cell r="F232">
            <v>1.5</v>
          </cell>
          <cell r="G232">
            <v>1.5</v>
          </cell>
          <cell r="H232" t="str">
            <v>LS</v>
          </cell>
          <cell r="I232">
            <v>1.5</v>
          </cell>
        </row>
        <row r="233">
          <cell r="A233">
            <v>34</v>
          </cell>
          <cell r="B233" t="str">
            <v>Internal Colony Road</v>
          </cell>
          <cell r="C233" t="str">
            <v>LS</v>
          </cell>
          <cell r="D233">
            <v>0</v>
          </cell>
          <cell r="E233">
            <v>0</v>
          </cell>
          <cell r="F233">
            <v>0</v>
          </cell>
          <cell r="G233">
            <v>0</v>
          </cell>
          <cell r="H233" t="str">
            <v>LS</v>
          </cell>
          <cell r="I233">
            <v>0</v>
          </cell>
        </row>
        <row r="234">
          <cell r="A234">
            <v>35</v>
          </cell>
          <cell r="B234" t="str">
            <v>Yard &amp; area fencing</v>
          </cell>
          <cell r="C234" t="str">
            <v>LS</v>
          </cell>
          <cell r="D234">
            <v>0</v>
          </cell>
          <cell r="E234">
            <v>0</v>
          </cell>
          <cell r="F234">
            <v>0</v>
          </cell>
          <cell r="G234">
            <v>0</v>
          </cell>
          <cell r="H234" t="str">
            <v>LS</v>
          </cell>
          <cell r="I234">
            <v>0</v>
          </cell>
        </row>
        <row r="235">
          <cell r="A235">
            <v>36</v>
          </cell>
          <cell r="B235" t="str">
            <v>Staff quarter</v>
          </cell>
          <cell r="C235" t="str">
            <v>LS</v>
          </cell>
          <cell r="D235">
            <v>0</v>
          </cell>
          <cell r="E235">
            <v>0</v>
          </cell>
          <cell r="F235">
            <v>0</v>
          </cell>
          <cell r="G235">
            <v>0</v>
          </cell>
          <cell r="H235" t="str">
            <v>LS</v>
          </cell>
          <cell r="I235">
            <v>0</v>
          </cell>
        </row>
        <row r="236">
          <cell r="A236">
            <v>37</v>
          </cell>
          <cell r="B236" t="str">
            <v>Rail Track</v>
          </cell>
          <cell r="C236" t="str">
            <v>LS</v>
          </cell>
          <cell r="D236">
            <v>0</v>
          </cell>
          <cell r="E236">
            <v>0</v>
          </cell>
          <cell r="F236">
            <v>1</v>
          </cell>
          <cell r="G236">
            <v>1</v>
          </cell>
          <cell r="H236" t="str">
            <v>LS</v>
          </cell>
          <cell r="I236">
            <v>1</v>
          </cell>
        </row>
        <row r="237">
          <cell r="A237">
            <v>38</v>
          </cell>
          <cell r="B237" t="str">
            <v>Station transformer foundation</v>
          </cell>
          <cell r="C237">
            <v>0</v>
          </cell>
          <cell r="D237">
            <v>0</v>
          </cell>
          <cell r="E237">
            <v>0</v>
          </cell>
          <cell r="F237">
            <v>0.30099999999999999</v>
          </cell>
          <cell r="G237">
            <v>0</v>
          </cell>
          <cell r="H237">
            <v>0.30099999999999999</v>
          </cell>
          <cell r="I237">
            <v>0</v>
          </cell>
        </row>
        <row r="238">
          <cell r="A238">
            <v>39</v>
          </cell>
          <cell r="B238" t="str">
            <v>Flag stone flooring &amp; Misc. civil works</v>
          </cell>
          <cell r="C238" t="str">
            <v>LS</v>
          </cell>
          <cell r="D238">
            <v>0</v>
          </cell>
          <cell r="E238">
            <v>0</v>
          </cell>
          <cell r="F238">
            <v>0.5</v>
          </cell>
          <cell r="G238">
            <v>0.5</v>
          </cell>
          <cell r="H238" t="str">
            <v>LS</v>
          </cell>
          <cell r="I238">
            <v>0.5</v>
          </cell>
        </row>
        <row r="239">
          <cell r="E239">
            <v>0</v>
          </cell>
          <cell r="F239">
            <v>0.5</v>
          </cell>
          <cell r="G239">
            <v>0.5</v>
          </cell>
          <cell r="H239" t="str">
            <v>LS</v>
          </cell>
          <cell r="I239">
            <v>0.5</v>
          </cell>
        </row>
        <row r="240">
          <cell r="A240" t="str">
            <v/>
          </cell>
          <cell r="B240" t="str">
            <v>SUB TOTAL (I)</v>
          </cell>
          <cell r="C240">
            <v>0</v>
          </cell>
          <cell r="D240">
            <v>0</v>
          </cell>
          <cell r="E240">
            <v>0</v>
          </cell>
          <cell r="F240">
            <v>0</v>
          </cell>
          <cell r="G240">
            <v>7.0570000000000004</v>
          </cell>
          <cell r="H240">
            <v>0</v>
          </cell>
          <cell r="I240">
            <v>7.0570000000000004</v>
          </cell>
        </row>
        <row r="241">
          <cell r="I241">
            <v>7.0570000000000004</v>
          </cell>
        </row>
        <row r="242">
          <cell r="A242" t="str">
            <v>J</v>
          </cell>
          <cell r="B242" t="str">
            <v>ERECTION,TESTING &amp; COMMISSIONING ETC.</v>
          </cell>
        </row>
        <row r="243">
          <cell r="A243" t="str">
            <v>J</v>
          </cell>
          <cell r="B243" t="str">
            <v>ERECTION,TESTING &amp; COMMISSIONING ETC.</v>
          </cell>
        </row>
        <row r="244">
          <cell r="A244">
            <v>1</v>
          </cell>
          <cell r="B244" t="str">
            <v>160MVA Transformer</v>
          </cell>
          <cell r="C244">
            <v>0</v>
          </cell>
          <cell r="D244">
            <v>0</v>
          </cell>
          <cell r="E244">
            <v>0</v>
          </cell>
          <cell r="F244">
            <v>1.24</v>
          </cell>
          <cell r="G244">
            <v>0</v>
          </cell>
          <cell r="H244">
            <v>1.24</v>
          </cell>
          <cell r="I244">
            <v>0</v>
          </cell>
        </row>
        <row r="245">
          <cell r="A245">
            <v>2</v>
          </cell>
          <cell r="B245" t="str">
            <v>40MVA transformer</v>
          </cell>
          <cell r="C245">
            <v>1</v>
          </cell>
          <cell r="D245">
            <v>0</v>
          </cell>
          <cell r="E245">
            <v>0</v>
          </cell>
          <cell r="F245">
            <v>0.97</v>
          </cell>
          <cell r="G245">
            <v>0.97</v>
          </cell>
          <cell r="H245">
            <v>0.97</v>
          </cell>
          <cell r="I245">
            <v>0.97</v>
          </cell>
        </row>
        <row r="246">
          <cell r="A246">
            <v>3</v>
          </cell>
          <cell r="B246" t="str">
            <v>220KV CB</v>
          </cell>
          <cell r="C246">
            <v>0</v>
          </cell>
          <cell r="D246">
            <v>0</v>
          </cell>
          <cell r="E246">
            <v>0</v>
          </cell>
          <cell r="F246">
            <v>0.2</v>
          </cell>
          <cell r="G246">
            <v>0</v>
          </cell>
          <cell r="H246">
            <v>0.2</v>
          </cell>
          <cell r="I246">
            <v>0</v>
          </cell>
        </row>
        <row r="247">
          <cell r="A247">
            <v>4</v>
          </cell>
          <cell r="B247" t="str">
            <v>220KV CT</v>
          </cell>
          <cell r="C247">
            <v>0</v>
          </cell>
          <cell r="D247">
            <v>0</v>
          </cell>
          <cell r="E247">
            <v>0</v>
          </cell>
          <cell r="F247">
            <v>4.1000000000000002E-2</v>
          </cell>
          <cell r="G247">
            <v>0</v>
          </cell>
          <cell r="H247">
            <v>4.1000000000000002E-2</v>
          </cell>
          <cell r="I247">
            <v>0</v>
          </cell>
        </row>
        <row r="248">
          <cell r="A248">
            <v>5</v>
          </cell>
          <cell r="B248" t="str">
            <v>220KV Isolator</v>
          </cell>
          <cell r="C248">
            <v>0</v>
          </cell>
          <cell r="D248">
            <v>0</v>
          </cell>
          <cell r="E248">
            <v>0</v>
          </cell>
          <cell r="F248">
            <v>0.09</v>
          </cell>
          <cell r="G248">
            <v>0</v>
          </cell>
          <cell r="H248">
            <v>0.09</v>
          </cell>
          <cell r="I248">
            <v>0</v>
          </cell>
        </row>
        <row r="249">
          <cell r="A249">
            <v>6</v>
          </cell>
          <cell r="B249" t="str">
            <v>220KV LA</v>
          </cell>
          <cell r="C249">
            <v>0</v>
          </cell>
          <cell r="D249">
            <v>0</v>
          </cell>
          <cell r="E249">
            <v>0</v>
          </cell>
          <cell r="F249">
            <v>2.5000000000000001E-2</v>
          </cell>
          <cell r="G249">
            <v>0</v>
          </cell>
          <cell r="H249">
            <v>2.5000000000000001E-2</v>
          </cell>
          <cell r="I249">
            <v>0</v>
          </cell>
        </row>
        <row r="250">
          <cell r="A250">
            <v>7</v>
          </cell>
          <cell r="B250" t="str">
            <v>220KV PT/CVT</v>
          </cell>
          <cell r="C250">
            <v>0</v>
          </cell>
          <cell r="D250">
            <v>0</v>
          </cell>
          <cell r="E250">
            <v>0</v>
          </cell>
          <cell r="F250">
            <v>0.04</v>
          </cell>
          <cell r="G250">
            <v>0</v>
          </cell>
          <cell r="H250">
            <v>0.04</v>
          </cell>
          <cell r="I250">
            <v>0</v>
          </cell>
        </row>
        <row r="251">
          <cell r="A251">
            <v>8</v>
          </cell>
          <cell r="B251" t="str">
            <v>220KV C&amp;R Panel</v>
          </cell>
          <cell r="C251">
            <v>0</v>
          </cell>
          <cell r="D251">
            <v>0</v>
          </cell>
          <cell r="E251">
            <v>0</v>
          </cell>
          <cell r="F251">
            <v>0.18</v>
          </cell>
          <cell r="G251">
            <v>0</v>
          </cell>
          <cell r="H251">
            <v>0.18</v>
          </cell>
          <cell r="I251">
            <v>0</v>
          </cell>
        </row>
        <row r="252">
          <cell r="A252">
            <v>9</v>
          </cell>
          <cell r="B252" t="str">
            <v>220/132/33KV Gantries,Busbar equip.structure erection(in MT)</v>
          </cell>
          <cell r="C252">
            <v>22.567999999999998</v>
          </cell>
          <cell r="D252">
            <v>0</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D253">
            <v>0</v>
          </cell>
          <cell r="E253">
            <v>0</v>
          </cell>
          <cell r="F253">
            <v>0</v>
          </cell>
          <cell r="G253">
            <v>0</v>
          </cell>
          <cell r="H253" t="str">
            <v>LS</v>
          </cell>
          <cell r="I253">
            <v>0</v>
          </cell>
        </row>
        <row r="254">
          <cell r="A254">
            <v>11</v>
          </cell>
          <cell r="B254" t="str">
            <v>220KV PI/Solid Core Insulators</v>
          </cell>
          <cell r="C254">
            <v>0</v>
          </cell>
          <cell r="D254">
            <v>0</v>
          </cell>
          <cell r="E254">
            <v>0</v>
          </cell>
          <cell r="F254">
            <v>7.0000000000000001E-3</v>
          </cell>
          <cell r="G254">
            <v>0</v>
          </cell>
          <cell r="H254">
            <v>7.0000000000000001E-3</v>
          </cell>
          <cell r="I254">
            <v>0</v>
          </cell>
        </row>
        <row r="255">
          <cell r="A255">
            <v>12</v>
          </cell>
          <cell r="B255" t="str">
            <v>220KV wave trap</v>
          </cell>
          <cell r="C255">
            <v>0</v>
          </cell>
          <cell r="D255">
            <v>0</v>
          </cell>
          <cell r="E255">
            <v>0</v>
          </cell>
          <cell r="F255">
            <v>0.04</v>
          </cell>
          <cell r="G255">
            <v>0</v>
          </cell>
          <cell r="H255">
            <v>0.04</v>
          </cell>
          <cell r="I255">
            <v>0</v>
          </cell>
        </row>
        <row r="256">
          <cell r="A256">
            <v>13</v>
          </cell>
          <cell r="B256" t="str">
            <v>132KV CC</v>
          </cell>
          <cell r="C256">
            <v>0</v>
          </cell>
          <cell r="D256">
            <v>0</v>
          </cell>
          <cell r="E256">
            <v>0</v>
          </cell>
          <cell r="F256">
            <v>3.4000000000000002E-2</v>
          </cell>
          <cell r="G256">
            <v>0</v>
          </cell>
          <cell r="H256">
            <v>3.4000000000000002E-2</v>
          </cell>
          <cell r="I256">
            <v>0</v>
          </cell>
        </row>
        <row r="257">
          <cell r="A257">
            <v>14</v>
          </cell>
          <cell r="B257" t="str">
            <v>132KV CB</v>
          </cell>
          <cell r="C257">
            <v>1</v>
          </cell>
          <cell r="D257">
            <v>0</v>
          </cell>
          <cell r="E257">
            <v>0</v>
          </cell>
          <cell r="F257">
            <v>0.16</v>
          </cell>
          <cell r="G257">
            <v>0.16</v>
          </cell>
          <cell r="H257">
            <v>0.16</v>
          </cell>
          <cell r="I257">
            <v>0.16</v>
          </cell>
        </row>
        <row r="258">
          <cell r="A258">
            <v>15</v>
          </cell>
          <cell r="B258" t="str">
            <v>132KV CT</v>
          </cell>
          <cell r="C258">
            <v>3</v>
          </cell>
          <cell r="D258">
            <v>0</v>
          </cell>
          <cell r="E258">
            <v>0</v>
          </cell>
          <cell r="F258">
            <v>3.9E-2</v>
          </cell>
          <cell r="G258">
            <v>0.11699999999999999</v>
          </cell>
          <cell r="H258">
            <v>3.9E-2</v>
          </cell>
          <cell r="I258">
            <v>0.11699999999999999</v>
          </cell>
        </row>
        <row r="259">
          <cell r="A259">
            <v>16</v>
          </cell>
          <cell r="B259" t="str">
            <v>132KV Isolators</v>
          </cell>
          <cell r="C259">
            <v>3</v>
          </cell>
          <cell r="D259">
            <v>0</v>
          </cell>
          <cell r="E259">
            <v>0</v>
          </cell>
          <cell r="F259">
            <v>7.0000000000000007E-2</v>
          </cell>
          <cell r="G259">
            <v>0.21000000000000002</v>
          </cell>
          <cell r="H259">
            <v>7.0000000000000007E-2</v>
          </cell>
          <cell r="I259">
            <v>0.21000000000000002</v>
          </cell>
        </row>
        <row r="260">
          <cell r="A260">
            <v>17</v>
          </cell>
          <cell r="B260" t="str">
            <v>132KV LA</v>
          </cell>
          <cell r="C260">
            <v>3</v>
          </cell>
          <cell r="D260">
            <v>0</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D261">
            <v>0</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D262">
            <v>0</v>
          </cell>
          <cell r="E262">
            <v>0</v>
          </cell>
          <cell r="F262">
            <v>5.0000000000000001E-3</v>
          </cell>
          <cell r="G262">
            <v>0.03</v>
          </cell>
          <cell r="H262">
            <v>5.0000000000000001E-3</v>
          </cell>
          <cell r="I262">
            <v>0.03</v>
          </cell>
        </row>
        <row r="263">
          <cell r="A263">
            <v>20</v>
          </cell>
          <cell r="B263" t="str">
            <v>132KV PT</v>
          </cell>
          <cell r="C263">
            <v>0</v>
          </cell>
          <cell r="D263">
            <v>0</v>
          </cell>
          <cell r="E263">
            <v>0</v>
          </cell>
          <cell r="F263">
            <v>3.4000000000000002E-2</v>
          </cell>
          <cell r="G263">
            <v>0</v>
          </cell>
          <cell r="H263">
            <v>3.4000000000000002E-2</v>
          </cell>
          <cell r="I263">
            <v>0</v>
          </cell>
        </row>
        <row r="264">
          <cell r="A264">
            <v>21</v>
          </cell>
          <cell r="B264" t="str">
            <v>33KV CB</v>
          </cell>
          <cell r="C264">
            <v>1</v>
          </cell>
          <cell r="D264">
            <v>0</v>
          </cell>
          <cell r="E264">
            <v>0</v>
          </cell>
          <cell r="F264">
            <v>8.2000000000000003E-2</v>
          </cell>
          <cell r="G264">
            <v>8.2000000000000003E-2</v>
          </cell>
          <cell r="H264">
            <v>8.2000000000000003E-2</v>
          </cell>
          <cell r="I264">
            <v>8.2000000000000003E-2</v>
          </cell>
        </row>
        <row r="265">
          <cell r="A265">
            <v>22</v>
          </cell>
          <cell r="B265" t="str">
            <v>33KV CT</v>
          </cell>
          <cell r="C265">
            <v>3</v>
          </cell>
          <cell r="D265">
            <v>0</v>
          </cell>
          <cell r="E265">
            <v>0</v>
          </cell>
          <cell r="F265">
            <v>0.03</v>
          </cell>
          <cell r="G265">
            <v>0.09</v>
          </cell>
          <cell r="H265">
            <v>0.03</v>
          </cell>
          <cell r="I265">
            <v>0.09</v>
          </cell>
        </row>
        <row r="266">
          <cell r="A266">
            <v>23</v>
          </cell>
          <cell r="B266" t="str">
            <v>33KV PT</v>
          </cell>
          <cell r="C266">
            <v>0</v>
          </cell>
          <cell r="D266">
            <v>0</v>
          </cell>
          <cell r="E266">
            <v>0</v>
          </cell>
          <cell r="F266">
            <v>0.03</v>
          </cell>
          <cell r="G266">
            <v>0</v>
          </cell>
          <cell r="H266">
            <v>0.03</v>
          </cell>
          <cell r="I266">
            <v>0</v>
          </cell>
        </row>
        <row r="267">
          <cell r="A267">
            <v>24</v>
          </cell>
          <cell r="B267" t="str">
            <v>33KV Isolator</v>
          </cell>
          <cell r="C267">
            <v>2</v>
          </cell>
          <cell r="D267">
            <v>0</v>
          </cell>
          <cell r="E267">
            <v>0</v>
          </cell>
          <cell r="F267">
            <v>4.7E-2</v>
          </cell>
          <cell r="G267">
            <v>9.4E-2</v>
          </cell>
          <cell r="H267">
            <v>4.7E-2</v>
          </cell>
          <cell r="I267">
            <v>9.4E-2</v>
          </cell>
        </row>
        <row r="268">
          <cell r="A268">
            <v>25</v>
          </cell>
          <cell r="B268" t="str">
            <v>33KV LA</v>
          </cell>
          <cell r="C268">
            <v>3</v>
          </cell>
          <cell r="D268">
            <v>0</v>
          </cell>
          <cell r="E268">
            <v>0</v>
          </cell>
          <cell r="F268">
            <v>1.0999999999999999E-2</v>
          </cell>
          <cell r="G268">
            <v>3.3000000000000002E-2</v>
          </cell>
          <cell r="H268">
            <v>1.0999999999999999E-2</v>
          </cell>
          <cell r="I268">
            <v>3.3000000000000002E-2</v>
          </cell>
        </row>
        <row r="269">
          <cell r="A269">
            <v>26</v>
          </cell>
          <cell r="B269" t="str">
            <v>33KV C&amp;R Panel</v>
          </cell>
          <cell r="C269">
            <v>1</v>
          </cell>
          <cell r="D269">
            <v>0</v>
          </cell>
          <cell r="E269">
            <v>0</v>
          </cell>
          <cell r="F269">
            <v>0.13</v>
          </cell>
          <cell r="G269">
            <v>0.13</v>
          </cell>
          <cell r="H269">
            <v>0.13</v>
          </cell>
          <cell r="I269">
            <v>0.13</v>
          </cell>
        </row>
        <row r="270">
          <cell r="A270">
            <v>27</v>
          </cell>
          <cell r="B270" t="str">
            <v>33KV PI/Solid Core Insulators</v>
          </cell>
          <cell r="C270">
            <v>0</v>
          </cell>
          <cell r="D270">
            <v>0</v>
          </cell>
          <cell r="E270">
            <v>0</v>
          </cell>
          <cell r="F270">
            <v>3.0000000000000001E-3</v>
          </cell>
          <cell r="G270">
            <v>0</v>
          </cell>
          <cell r="H270">
            <v>3.0000000000000001E-3</v>
          </cell>
          <cell r="I270">
            <v>0</v>
          </cell>
        </row>
        <row r="271">
          <cell r="A271">
            <v>28</v>
          </cell>
          <cell r="B271" t="str">
            <v>Station Transformer,</v>
          </cell>
          <cell r="C271">
            <v>0</v>
          </cell>
          <cell r="D271">
            <v>0</v>
          </cell>
          <cell r="E271">
            <v>0</v>
          </cell>
          <cell r="F271">
            <v>7.0000000000000007E-2</v>
          </cell>
          <cell r="G271">
            <v>0</v>
          </cell>
          <cell r="H271">
            <v>7.0000000000000007E-2</v>
          </cell>
          <cell r="I271">
            <v>0</v>
          </cell>
        </row>
        <row r="272">
          <cell r="A272">
            <v>29</v>
          </cell>
          <cell r="B272" t="str">
            <v>Cable laying &amp; associated works</v>
          </cell>
          <cell r="C272" t="str">
            <v>LS</v>
          </cell>
          <cell r="D272">
            <v>0</v>
          </cell>
          <cell r="E272">
            <v>0</v>
          </cell>
          <cell r="F272">
            <v>0.2</v>
          </cell>
          <cell r="G272">
            <v>0.2</v>
          </cell>
          <cell r="H272" t="str">
            <v>LS</v>
          </cell>
          <cell r="I272">
            <v>0.2</v>
          </cell>
        </row>
        <row r="273">
          <cell r="A273">
            <v>30</v>
          </cell>
          <cell r="B273" t="str">
            <v>Earthing works</v>
          </cell>
          <cell r="C273" t="str">
            <v>LS</v>
          </cell>
          <cell r="D273">
            <v>0</v>
          </cell>
          <cell r="E273">
            <v>0</v>
          </cell>
          <cell r="F273">
            <v>0.2</v>
          </cell>
          <cell r="G273">
            <v>0.2</v>
          </cell>
          <cell r="H273" t="str">
            <v>LS</v>
          </cell>
          <cell r="I273">
            <v>0.2</v>
          </cell>
        </row>
        <row r="274">
          <cell r="A274">
            <v>31</v>
          </cell>
          <cell r="B274" t="str">
            <v>AC/DC Board</v>
          </cell>
          <cell r="C274">
            <v>0</v>
          </cell>
          <cell r="D274">
            <v>0</v>
          </cell>
          <cell r="E274">
            <v>0</v>
          </cell>
          <cell r="F274">
            <v>0.13100000000000001</v>
          </cell>
          <cell r="G274">
            <v>0</v>
          </cell>
          <cell r="H274">
            <v>0.13100000000000001</v>
          </cell>
          <cell r="I274">
            <v>0</v>
          </cell>
        </row>
        <row r="275">
          <cell r="A275">
            <v>32</v>
          </cell>
          <cell r="B275" t="str">
            <v>Fitting of lighting fixtures</v>
          </cell>
          <cell r="C275" t="str">
            <v>LS</v>
          </cell>
          <cell r="D275">
            <v>0</v>
          </cell>
          <cell r="E275">
            <v>0</v>
          </cell>
          <cell r="F275">
            <v>0.1</v>
          </cell>
          <cell r="G275">
            <v>0.1</v>
          </cell>
          <cell r="H275" t="str">
            <v>LS</v>
          </cell>
          <cell r="I275">
            <v>0.1</v>
          </cell>
        </row>
        <row r="276">
          <cell r="A276">
            <v>33</v>
          </cell>
          <cell r="B276" t="str">
            <v>110V 300Ah battery</v>
          </cell>
          <cell r="C276">
            <v>0</v>
          </cell>
          <cell r="D276">
            <v>0</v>
          </cell>
          <cell r="E276">
            <v>0</v>
          </cell>
          <cell r="F276">
            <v>0.14000000000000001</v>
          </cell>
          <cell r="G276">
            <v>0</v>
          </cell>
          <cell r="H276">
            <v>0.14000000000000001</v>
          </cell>
          <cell r="I276">
            <v>0</v>
          </cell>
        </row>
        <row r="277">
          <cell r="A277">
            <v>34</v>
          </cell>
          <cell r="B277" t="str">
            <v>110V 300Ah battery charger</v>
          </cell>
          <cell r="C277">
            <v>0</v>
          </cell>
          <cell r="D277">
            <v>0</v>
          </cell>
          <cell r="E277">
            <v>0</v>
          </cell>
          <cell r="F277">
            <v>9.5000000000000001E-2</v>
          </cell>
          <cell r="G277">
            <v>0</v>
          </cell>
          <cell r="H277">
            <v>9.5000000000000001E-2</v>
          </cell>
          <cell r="I277">
            <v>0</v>
          </cell>
        </row>
        <row r="278">
          <cell r="A278">
            <v>35</v>
          </cell>
          <cell r="B278" t="str">
            <v>48V 200Ah battery</v>
          </cell>
          <cell r="C278">
            <v>0</v>
          </cell>
          <cell r="D278">
            <v>0</v>
          </cell>
          <cell r="E278">
            <v>0</v>
          </cell>
          <cell r="F278">
            <v>0.1</v>
          </cell>
          <cell r="G278">
            <v>0</v>
          </cell>
          <cell r="H278">
            <v>0.1</v>
          </cell>
          <cell r="I278">
            <v>0</v>
          </cell>
        </row>
        <row r="279">
          <cell r="A279">
            <v>36</v>
          </cell>
          <cell r="B279" t="str">
            <v>48V 200Ah battery charger</v>
          </cell>
          <cell r="C279">
            <v>0</v>
          </cell>
          <cell r="D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D280">
            <v>0</v>
          </cell>
          <cell r="E280">
            <v>0</v>
          </cell>
          <cell r="F280">
            <v>0.5</v>
          </cell>
          <cell r="G280">
            <v>0.5</v>
          </cell>
          <cell r="H280" t="str">
            <v>LS</v>
          </cell>
          <cell r="I280">
            <v>0.5</v>
          </cell>
        </row>
        <row r="281">
          <cell r="A281">
            <v>38</v>
          </cell>
          <cell r="B281" t="str">
            <v>Testing &amp; Commissioning &amp; misc.expenditure</v>
          </cell>
          <cell r="C281" t="str">
            <v>LS</v>
          </cell>
          <cell r="D281">
            <v>0</v>
          </cell>
          <cell r="E281">
            <v>0</v>
          </cell>
          <cell r="F281">
            <v>0.1</v>
          </cell>
          <cell r="G281">
            <v>0.1</v>
          </cell>
          <cell r="H281" t="str">
            <v>LS</v>
          </cell>
          <cell r="I281">
            <v>0.1</v>
          </cell>
        </row>
        <row r="283">
          <cell r="E283">
            <v>0</v>
          </cell>
          <cell r="F283">
            <v>0.1</v>
          </cell>
          <cell r="G283">
            <v>0.1</v>
          </cell>
          <cell r="H283" t="str">
            <v>LS</v>
          </cell>
          <cell r="I283">
            <v>0.1</v>
          </cell>
        </row>
        <row r="284">
          <cell r="B284" t="str">
            <v>SUB TOTAL (J)</v>
          </cell>
          <cell r="C284">
            <v>0</v>
          </cell>
          <cell r="D284">
            <v>0</v>
          </cell>
          <cell r="E284">
            <v>0</v>
          </cell>
          <cell r="F284">
            <v>0</v>
          </cell>
          <cell r="G284">
            <v>3.7711999999999999</v>
          </cell>
          <cell r="H284">
            <v>0</v>
          </cell>
          <cell r="I284">
            <v>3.7711999999999999</v>
          </cell>
        </row>
      </sheetData>
      <sheetData sheetId="13">
        <row r="38">
          <cell r="A38" t="str">
            <v xml:space="preserve">ESTIMATE FOR INSTALLATION OF ADDITIONAL 1X40MVA 132/33KV TRANSFORMER AT EXISTING EHV SUBSTATION </v>
          </cell>
        </row>
      </sheetData>
      <sheetData sheetId="14">
        <row r="38">
          <cell r="A38" t="str">
            <v xml:space="preserve">ESTIMATE FOR INSTALLATION OF ADDITIONAL 1X40MVA 132/33KV TRANSFORMER AT EXISTING EHV SUBSTATION </v>
          </cell>
        </row>
      </sheetData>
      <sheetData sheetId="15">
        <row r="38">
          <cell r="A38" t="str">
            <v xml:space="preserve">ESTIMATE FOR INSTALLATION OF ADDITIONAL 1X40MVA 132/33KV TRANSFORMER AT EXISTING EHV SUBSTATION </v>
          </cell>
        </row>
      </sheetData>
      <sheetData sheetId="16">
        <row r="38">
          <cell r="A38" t="str">
            <v xml:space="preserve">ESTIMATE FOR INSTALLATION OF ADDITIONAL 1X40MVA 132/33KV TRANSFORMER AT EXISTING EHV SUBSTATION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inloss computation FY 09-10"/>
      <sheetName val="Summary"/>
      <sheetName val="Issue sheet"/>
      <sheetName val="Tables_True up FY 09-10"/>
      <sheetName val="Assumption_PwC"/>
      <sheetName val="O&amp;M costs"/>
      <sheetName val="Sheet1"/>
      <sheetName val="F1(Bhu)"/>
      <sheetName val="F1(Cha)"/>
      <sheetName val="F1(Paras)"/>
      <sheetName val="F1(Kor)"/>
      <sheetName val="F1(Parli)"/>
      <sheetName val="F1(Kha)"/>
      <sheetName val="F1(Nasi)"/>
      <sheetName val="F1(Uran)"/>
      <sheetName val="F1(Hydro)"/>
      <sheetName val="F2.1(Bhu)"/>
      <sheetName val="F2.1(Cha)"/>
      <sheetName val="F2.1(Kor)"/>
      <sheetName val="F2.1(Parli)"/>
      <sheetName val="F2.1(Paras)"/>
      <sheetName val="F2.1(Nasi)"/>
      <sheetName val="F2.1(Uran)"/>
      <sheetName val="F2.1(Kha)"/>
      <sheetName val="Capex Bhu"/>
      <sheetName val="Capex Cha"/>
      <sheetName val="Capex Kor"/>
      <sheetName val="Capex Paras"/>
      <sheetName val="Capex Kha"/>
      <sheetName val="Capex parli"/>
      <sheetName val="Capex Nasi"/>
      <sheetName val="Capex Uran"/>
      <sheetName val="Capex Hydro"/>
      <sheetName val="F2.2(Bhu)"/>
      <sheetName val="F2.3(Bhu)"/>
      <sheetName val="F2.6(Bhu)"/>
      <sheetName val="F3(Bhu)"/>
      <sheetName val="F3.1(Bhu)"/>
      <sheetName val="F3.2(Bhu)"/>
      <sheetName val="F3.3(Bhu)"/>
      <sheetName val="F4(Bhu)"/>
      <sheetName val="F5(Bhu)"/>
      <sheetName val="F5.1(Bhu)"/>
      <sheetName val="F5.2(Bhu)"/>
      <sheetName val="F5.3(Bhu)"/>
      <sheetName val="F5.4(Bhu)"/>
      <sheetName val="F6(Bhu)"/>
      <sheetName val="F11(Bhu)"/>
      <sheetName val="F12(Bhu)"/>
      <sheetName val="F2.2(Cha)"/>
      <sheetName val="F2.3(Cha)"/>
      <sheetName val="F2.6(Cha)"/>
      <sheetName val="F3(Cha)"/>
      <sheetName val="F3.1(Cha)"/>
      <sheetName val="F3.2(Cha)"/>
      <sheetName val="F3.3(Cha)"/>
      <sheetName val="F4(Cha)"/>
      <sheetName val="F5.1(Cha)"/>
      <sheetName val="F5(Cha)"/>
      <sheetName val="F5.2(Cha)"/>
      <sheetName val="F5.3(Cha)"/>
      <sheetName val="F5.4(Cha)"/>
      <sheetName val="F6(Cha)"/>
      <sheetName val="F11(Cha)"/>
      <sheetName val="F12(Cha)"/>
      <sheetName val="O&amp;m EXP."/>
      <sheetName val="Koradi"/>
      <sheetName val="F2.2(Kor)"/>
      <sheetName val="F2.3(Kor)"/>
      <sheetName val="F2.6(Kor)"/>
      <sheetName val="F3(Kor)"/>
      <sheetName val="F3.1(Kor)"/>
      <sheetName val="F3.2(Kor)"/>
      <sheetName val="F3.3(Kor)"/>
      <sheetName val="F4(Kor)"/>
      <sheetName val="F5.4(Kor)"/>
      <sheetName val="F5(Kor)"/>
      <sheetName val="F5.1(Kor)"/>
      <sheetName val="F5.2(Kor)"/>
      <sheetName val="F5.3(Kor)"/>
      <sheetName val="F6(Kor)"/>
      <sheetName val="F11(Kor)"/>
      <sheetName val="F12(Kor)"/>
      <sheetName val="Paras"/>
      <sheetName val="F2.2(Paras)"/>
      <sheetName val="F2.3(Paras)"/>
      <sheetName val="F2.6(Paras)"/>
      <sheetName val="F3(Paras)"/>
      <sheetName val="F3.1(Paras)"/>
      <sheetName val="F3.2(Paras)"/>
      <sheetName val="F3.3(Paras)"/>
      <sheetName val="F4(Paras)"/>
      <sheetName val="F5(Paras)"/>
      <sheetName val="F5.1(Paras)"/>
      <sheetName val="F5.2(Paras)"/>
      <sheetName val="F5.3(Paras)"/>
      <sheetName val="F5.4(Paras)"/>
      <sheetName val="F6(Paras)"/>
      <sheetName val="F11(Paras)"/>
      <sheetName val="F12(Paras)"/>
      <sheetName val="Parli"/>
      <sheetName val="F2.2(Parli)"/>
      <sheetName val="F2.3(Parli)"/>
      <sheetName val="F2.6(Parli)"/>
      <sheetName val="F3(Parli)"/>
      <sheetName val="F3.1(Parli)"/>
      <sheetName val="F3.2(Parli)"/>
      <sheetName val="F3.3(Parli)"/>
      <sheetName val="F4(Parli)"/>
      <sheetName val="F5(Parli)"/>
      <sheetName val="F5.1(Parli)"/>
      <sheetName val="F5.2(Parli)"/>
      <sheetName val="F5.3(Parli)"/>
      <sheetName val="F5.4(Parli)"/>
      <sheetName val="F6(Parli)"/>
      <sheetName val="F11(Parli)"/>
      <sheetName val="F12(Parli)"/>
      <sheetName val="Khaperkheda"/>
      <sheetName val="F2.2(Kha)"/>
      <sheetName val="F2.3(Kha)"/>
      <sheetName val="F2.6(Kha)"/>
      <sheetName val="F3(Kha)"/>
      <sheetName val="F3.1(Kha)"/>
      <sheetName val="F3.2(Kha)"/>
      <sheetName val="F3.3(Kha)"/>
      <sheetName val="F4(Kha)"/>
      <sheetName val="F5(Kha)"/>
      <sheetName val="F5.1(Kha)"/>
      <sheetName val="F5.2(Kha)"/>
      <sheetName val="F5.3(Kha)"/>
      <sheetName val="F5.4(Kha)"/>
      <sheetName val="F6(Kha)"/>
      <sheetName val="F11(Kha)"/>
      <sheetName val="F12(Kha)"/>
      <sheetName val="Nasik"/>
      <sheetName val="F2.2(Nasi)"/>
      <sheetName val="F2.3(Nasi)"/>
      <sheetName val="F2.6(Nasi)"/>
      <sheetName val="F3(Nasi)"/>
      <sheetName val="F3.1(Nasi)"/>
      <sheetName val="F3.2(Nasi)"/>
      <sheetName val="F3.3(Nasi)"/>
      <sheetName val="F4(Nasi)"/>
      <sheetName val="F5(Nasi)"/>
      <sheetName val="F5.1(Nasi)"/>
      <sheetName val="F5.3(Nasi)"/>
      <sheetName val="F5.2(Nasi)"/>
      <sheetName val="F5.4(Nasi)"/>
      <sheetName val="F6(Nasi)"/>
      <sheetName val="F11(Nasi)"/>
      <sheetName val="F12(Nasi)"/>
      <sheetName val="Uran"/>
      <sheetName val="F2.2(Uran)"/>
      <sheetName val="F2.3(Uran)"/>
      <sheetName val="F2.6(Uran)"/>
      <sheetName val="F3(Uran)"/>
      <sheetName val="F3.1(Uran)"/>
      <sheetName val="F3.2(Uran)"/>
      <sheetName val="F3.3(Uran)"/>
      <sheetName val="F4(Uran)"/>
      <sheetName val="F5(Uran)"/>
      <sheetName val="F5.1(Uran)"/>
      <sheetName val="F5.2(Uran)"/>
      <sheetName val="F5.3(Uran)"/>
      <sheetName val="F5.4(Uran)"/>
      <sheetName val="F6(Uran)"/>
      <sheetName val="F11(Uran)"/>
      <sheetName val="F12(Uran)"/>
      <sheetName val="Hydro"/>
      <sheetName val="F2.1(Hydro)"/>
      <sheetName val="F2.3(Hydro)"/>
      <sheetName val="F2.4(Hydro)"/>
      <sheetName val="F2.6(Hydro)"/>
      <sheetName val="F3(Hydro)"/>
      <sheetName val="F3.1(Hydro)"/>
      <sheetName val="F3.2(Hydro)"/>
      <sheetName val="F3.3(Hydro)"/>
      <sheetName val="F4(Koyna)"/>
      <sheetName val="F4(PuneHydro)"/>
      <sheetName val="F4(NasikHydro)"/>
      <sheetName val="F5(Hydro)"/>
      <sheetName val="F5.1(Hydro)"/>
      <sheetName val="F5.2(Hydro)"/>
      <sheetName val="F4(Hydro)"/>
      <sheetName val="F5.4(PuneHydro)"/>
      <sheetName val="F5.3(PuneHydro)"/>
      <sheetName val="F5.3(NasikHydro)"/>
      <sheetName val="F5.4(NasikHydro)"/>
      <sheetName val="F5.4(Koyna)"/>
      <sheetName val="F5.3(Koyna)"/>
      <sheetName val="F6(Hydro)"/>
      <sheetName val="F11(Hydro)"/>
      <sheetName val="F12(Hydro)"/>
      <sheetName val="Revised True Up 200809"/>
      <sheetName val="Impact of FY 08-09"/>
    </sheetNames>
    <sheetDataSet>
      <sheetData sheetId="0">
        <row r="3">
          <cell r="B3">
            <v>7.8600000000000003E-2</v>
          </cell>
        </row>
        <row r="16">
          <cell r="B16">
            <v>0.13</v>
          </cell>
        </row>
      </sheetData>
      <sheetData sheetId="1" refreshError="1"/>
      <sheetData sheetId="2" refreshError="1"/>
      <sheetData sheetId="3" refreshError="1"/>
      <sheetData sheetId="4" refreshError="1"/>
      <sheetData sheetId="5">
        <row r="7">
          <cell r="D7">
            <v>0.1074</v>
          </cell>
          <cell r="E7">
            <v>0.1055</v>
          </cell>
        </row>
        <row r="8">
          <cell r="D8">
            <v>8.1799999999999998E-2</v>
          </cell>
        </row>
        <row r="116">
          <cell r="C116">
            <v>0.11749999999999999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0">
          <cell r="V30">
            <v>27.489999999999995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1997-1998"/>
      <sheetName val="1998-1999"/>
      <sheetName val="1999-2000"/>
      <sheetName val="2000-01"/>
      <sheetName val="2001-02"/>
      <sheetName val="2002-03"/>
      <sheetName val="2003-04"/>
      <sheetName val="2004-05"/>
      <sheetName val="2005-06"/>
      <sheetName val="2006-07"/>
      <sheetName val="2007-08"/>
      <sheetName val="2008-09"/>
      <sheetName val="2009-10"/>
      <sheetName val="2010-11"/>
      <sheetName val="2011-12"/>
      <sheetName val="2012-13"/>
      <sheetName val="2013-14"/>
      <sheetName val="2014-15"/>
      <sheetName val="2014-15-U-2ESD"/>
      <sheetName val="Yly-Gen"/>
      <sheetName val="Data"/>
      <sheetName val="Since Comm,"/>
      <sheetName val="History Data"/>
      <sheetName val="Gen.Data 87-97"/>
      <sheetName val="C.F., C.V. &amp; H.R."/>
      <sheetName val="Gen., Coal Factor, Heat Rate"/>
      <sheetName val="SAP-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BHUSAWAL"/>
      <sheetName val="F1(Bhu)"/>
      <sheetName val="F2.1(Bhu)"/>
      <sheetName val="F2.2(Bhu)"/>
      <sheetName val="F2.3(Bhu)"/>
      <sheetName val="F2.6(Bhu)"/>
      <sheetName val="F3(Bhu)"/>
      <sheetName val="F3.1(Bhu)"/>
      <sheetName val="F3.2(Bhu)"/>
      <sheetName val="F3.3(Bhu)"/>
      <sheetName val="F4(Bhu)"/>
      <sheetName val="F5(Bhu)"/>
      <sheetName val="F5.1(Bhu)"/>
      <sheetName val="F5.2(Bhu)"/>
      <sheetName val="F5.3(Bhu)"/>
      <sheetName val="F5.4(Bhu)"/>
      <sheetName val="F6(Bhu)"/>
      <sheetName val="F11(Bhu)"/>
      <sheetName val="F12(Bhu)"/>
      <sheetName val="Chandrapur"/>
      <sheetName val="F1(Cha)"/>
      <sheetName val="F2.1(Cha)"/>
      <sheetName val="F2.2(Cha)"/>
      <sheetName val="F2.3(Cha)"/>
      <sheetName val="F2.6(Cha)"/>
      <sheetName val="F3(Cha)"/>
      <sheetName val="F3.1(Cha)"/>
      <sheetName val="F3.2(Cha)"/>
      <sheetName val="F3.3(Cha)"/>
      <sheetName val="F4(Cha)"/>
      <sheetName val="F5(Cha)"/>
      <sheetName val="F5.1(Cha)"/>
      <sheetName val="F5.2(Cha)"/>
      <sheetName val="F5.3(Cha)"/>
      <sheetName val="F5.4(Cha)"/>
      <sheetName val="F6(Cha)"/>
      <sheetName val="F11(Cha)"/>
      <sheetName val="F12(Cha)"/>
      <sheetName val="Koradi"/>
      <sheetName val="F1(Kor)"/>
      <sheetName val="F2.1(Kor)"/>
      <sheetName val="F2.2(Kor)"/>
      <sheetName val="F2.3(Kor)"/>
      <sheetName val="F2.6(Kor)"/>
      <sheetName val="F3(Kor)"/>
      <sheetName val="F3.1(Kor)"/>
      <sheetName val="F3.2(Kor)"/>
      <sheetName val="F3.3(Kor)"/>
      <sheetName val="F4(Kor)"/>
      <sheetName val="F5(Kor)"/>
      <sheetName val="F5.1(Kor)"/>
      <sheetName val="F5.2(Kor)"/>
      <sheetName val="F5.3(Kor)"/>
      <sheetName val="F5.4(Kor)"/>
      <sheetName val="F6(Kor)"/>
      <sheetName val="F11(Kor)"/>
      <sheetName val="F12(Kor)"/>
      <sheetName val="Paras"/>
      <sheetName val="F1(Paras)"/>
      <sheetName val="F2.1(Paras)"/>
      <sheetName val="F2.2(Paras)"/>
      <sheetName val="F2.3(Paras)"/>
      <sheetName val="F2.6(Paras)"/>
      <sheetName val="F3(Paras)"/>
      <sheetName val="F3.1(Paras)"/>
      <sheetName val="F3.2(Paras)"/>
      <sheetName val="F3.3(Paras)"/>
      <sheetName val="F4(Paras)"/>
      <sheetName val="F5(Paras)"/>
      <sheetName val="F5.1(Paras)"/>
      <sheetName val="F5.2(Paras)"/>
      <sheetName val="F5.3(Paras)"/>
      <sheetName val="F5.4(Paras)"/>
      <sheetName val="F6(Paras)"/>
      <sheetName val="F11(Paras)"/>
      <sheetName val="F12(Paras)"/>
      <sheetName val="Parli"/>
      <sheetName val="F1(Parli)"/>
      <sheetName val="F2.1(Parli)"/>
      <sheetName val="F2.2(Parli)"/>
      <sheetName val="F2.3(Parli)"/>
      <sheetName val="F2.6(Parli)"/>
      <sheetName val="F3(Parli)"/>
      <sheetName val="F3.1(Parli)"/>
      <sheetName val="F3.2(Parli)"/>
      <sheetName val="F3.3(Parli)"/>
      <sheetName val="F4(Parli)"/>
      <sheetName val="F5(Parli)"/>
      <sheetName val="F5.1(Parli)"/>
      <sheetName val="F5.2(Parli)"/>
      <sheetName val="F5.3(Parli)"/>
      <sheetName val="F5.4(Parli)"/>
      <sheetName val="F6(Parli)"/>
      <sheetName val="F11(Parli)"/>
      <sheetName val="F12(Parli)"/>
      <sheetName val="Khaperkheda"/>
      <sheetName val="F1(Kha)"/>
      <sheetName val="F2.1(Kha)"/>
      <sheetName val="F2.2(Kha)"/>
      <sheetName val="F2.3(Kha)"/>
      <sheetName val="F2.6(Kha)"/>
      <sheetName val="F3(Kha)"/>
      <sheetName val="F3.1(Kha)"/>
      <sheetName val="F3.2(Kha)"/>
      <sheetName val="F3.3(Kha)"/>
      <sheetName val="F4(Kha)"/>
      <sheetName val="F5(Kha)"/>
      <sheetName val="F5.1(Kha)"/>
      <sheetName val="F5.2(Kha)"/>
      <sheetName val="F5.3(Kha)"/>
      <sheetName val="F5.4(Kha)"/>
      <sheetName val="F6(Kha)"/>
      <sheetName val="F11(Kha)"/>
      <sheetName val="F12(Kha)"/>
      <sheetName val="Nasik"/>
      <sheetName val="F1(Nasi)"/>
      <sheetName val="F2.1(Nasi)"/>
      <sheetName val="F2.2(Nasi)"/>
      <sheetName val="F2.3(Nasi)"/>
      <sheetName val="F2.6(Nasi)"/>
      <sheetName val="F3(Nasi)"/>
      <sheetName val="F3.1(Nasi)"/>
      <sheetName val="F3.2(Nasi)"/>
      <sheetName val="F3.3(Nasi)"/>
      <sheetName val="F4(Nasi)"/>
      <sheetName val="F5(Nasi)"/>
      <sheetName val="F5.1(Nasi)"/>
      <sheetName val="F5.2(Nasi)"/>
      <sheetName val="F5.3(Nasi)"/>
      <sheetName val="F5.4(Nasi)"/>
      <sheetName val="F6(Nasi)"/>
      <sheetName val="F11(Nasi)"/>
      <sheetName val="F12(Nasi)"/>
      <sheetName val="Uran"/>
      <sheetName val="F1(Uran)"/>
      <sheetName val="F2.1(Uran)"/>
      <sheetName val="F2.2(Uran)"/>
      <sheetName val="F2.3(Uran)"/>
      <sheetName val="F2.6(Uran)"/>
      <sheetName val="F3(Uran)"/>
      <sheetName val="F3.1(Uran)"/>
      <sheetName val="F3.2(Uran)"/>
      <sheetName val="F3.3(Uran)"/>
      <sheetName val="F4(Uran)"/>
      <sheetName val="F5(Uran)"/>
      <sheetName val="F5.1(Uran)"/>
      <sheetName val="F5.2(Uran)"/>
      <sheetName val="F5.3(Uran)"/>
      <sheetName val="F5.4(Uran)"/>
      <sheetName val="F6(Uran)"/>
      <sheetName val="F11(Uran)"/>
      <sheetName val="F12(Uran)"/>
      <sheetName val="Hydro"/>
      <sheetName val="F1(Hydro)"/>
      <sheetName val="F2.1(Hydro)"/>
      <sheetName val="F2.3(Hydro)"/>
      <sheetName val="F2.4(Hydro)"/>
      <sheetName val="F2.6(Hydro)"/>
      <sheetName val="F3(Hydro)"/>
      <sheetName val="F3.1(Hydro)"/>
      <sheetName val="F3.2(Hydro)"/>
      <sheetName val="F3.3(Hydro)"/>
      <sheetName val="F4(Hydro)"/>
      <sheetName val="F4(Koyna)"/>
      <sheetName val="F4(PuneHydro)"/>
      <sheetName val="F4(NasikHydro)"/>
      <sheetName val="F5(Hydro)"/>
      <sheetName val="F5.1(Hydro)"/>
      <sheetName val="F5.2(Hydro)"/>
      <sheetName val="F5.3(PuneHydro)"/>
      <sheetName val="F5.4(PuneHydro)"/>
      <sheetName val="F5.3(NasikHydro)"/>
      <sheetName val="F5.4(NasikHydro)"/>
      <sheetName val="F5.3(Koyna)"/>
      <sheetName val="F5.4(Koyna)"/>
      <sheetName val="F6(Hydro)"/>
      <sheetName val="F11(Hydro)"/>
      <sheetName val="F12(Hydro)"/>
      <sheetName val="2000-01"/>
    </sheetNames>
    <sheetDataSet>
      <sheetData sheetId="0">
        <row r="3">
          <cell r="B3">
            <v>7.8600000000000003E-2</v>
          </cell>
        </row>
        <row r="6">
          <cell r="B6">
            <v>0.06</v>
          </cell>
        </row>
        <row r="7">
          <cell r="B7">
            <v>0.06</v>
          </cell>
        </row>
        <row r="8">
          <cell r="B8">
            <v>0.06</v>
          </cell>
        </row>
        <row r="9">
          <cell r="B9">
            <v>0.06</v>
          </cell>
        </row>
        <row r="10">
          <cell r="B10">
            <v>0.05</v>
          </cell>
        </row>
        <row r="11">
          <cell r="B11">
            <v>0.12</v>
          </cell>
        </row>
        <row r="12">
          <cell r="B12">
            <v>0.12</v>
          </cell>
        </row>
        <row r="13">
          <cell r="B13">
            <v>1</v>
          </cell>
        </row>
        <row r="16">
          <cell r="B16">
            <v>0.13</v>
          </cell>
        </row>
        <row r="17">
          <cell r="B17">
            <v>0.13</v>
          </cell>
        </row>
        <row r="18">
          <cell r="B18">
            <v>0.13</v>
          </cell>
        </row>
        <row r="20">
          <cell r="B20">
            <v>0.1993</v>
          </cell>
        </row>
        <row r="22">
          <cell r="B22">
            <v>70.004999999999995</v>
          </cell>
        </row>
        <row r="23">
          <cell r="B23">
            <v>358.87740000000002</v>
          </cell>
        </row>
        <row r="25">
          <cell r="B25">
            <v>2E-3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Sheet1"/>
      <sheetName val="HLY_-99-00"/>
      <sheetName val="Hydro_Data"/>
      <sheetName val="dpc_cost"/>
      <sheetName val="Plant_Availability"/>
      <sheetName val="Bombaybazar(Remark)"/>
      <sheetName val="Assumptions"/>
      <sheetName val="Discom Details"/>
      <sheetName val="A 3.7"/>
      <sheetName val="C.S.GENERATION"/>
      <sheetName val="Cash Flow"/>
      <sheetName val="Sch-3"/>
      <sheetName val="HLY_-99-002"/>
      <sheetName val="Hydro_Data2"/>
      <sheetName val="dpc_cost2"/>
      <sheetName val="Plant_Availability2"/>
      <sheetName val="HLY_-99-001"/>
      <sheetName val="Hydro_Data1"/>
      <sheetName val="dpc_cost1"/>
      <sheetName val="Plant_Availability1"/>
      <sheetName val="all"/>
      <sheetName val="04rel"/>
      <sheetName val="RAJ"/>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l_qty"/>
      <sheetName val="Nov_04"/>
      <sheetName val="Dec_04"/>
      <sheetName val="Assumptions"/>
      <sheetName val="dpc cost"/>
      <sheetName val="SUMMERY"/>
    </sheetNames>
    <sheetDataSet>
      <sheetData sheetId="0" refreshError="1">
        <row r="8">
          <cell r="B8">
            <v>195</v>
          </cell>
          <cell r="C8">
            <v>1</v>
          </cell>
        </row>
        <row r="9">
          <cell r="B9">
            <v>195.02500000000001</v>
          </cell>
          <cell r="C9">
            <v>1.05</v>
          </cell>
        </row>
        <row r="10">
          <cell r="B10">
            <v>195.05</v>
          </cell>
          <cell r="C10">
            <v>1.1000000000000001</v>
          </cell>
        </row>
        <row r="11">
          <cell r="B11">
            <v>195.07499999999999</v>
          </cell>
          <cell r="C11">
            <v>1.1499999999999999</v>
          </cell>
        </row>
        <row r="12">
          <cell r="B12">
            <v>195.1</v>
          </cell>
          <cell r="C12">
            <v>1.2</v>
          </cell>
        </row>
        <row r="13">
          <cell r="B13">
            <v>195.125</v>
          </cell>
          <cell r="C13">
            <v>1.25</v>
          </cell>
        </row>
        <row r="14">
          <cell r="B14">
            <v>195.15</v>
          </cell>
          <cell r="C14">
            <v>1.3</v>
          </cell>
        </row>
        <row r="15">
          <cell r="B15">
            <v>195.17500000000001</v>
          </cell>
          <cell r="C15">
            <v>1.35</v>
          </cell>
        </row>
        <row r="16">
          <cell r="B16">
            <v>195.2</v>
          </cell>
          <cell r="C16">
            <v>1.4</v>
          </cell>
        </row>
        <row r="17">
          <cell r="B17">
            <v>195.22499999999999</v>
          </cell>
          <cell r="C17">
            <v>1.45</v>
          </cell>
        </row>
        <row r="18">
          <cell r="B18">
            <v>195.25</v>
          </cell>
          <cell r="C18">
            <v>1.5</v>
          </cell>
        </row>
        <row r="19">
          <cell r="B19">
            <v>195.27500000000001</v>
          </cell>
          <cell r="C19">
            <v>1.55</v>
          </cell>
        </row>
        <row r="20">
          <cell r="B20">
            <v>195.3</v>
          </cell>
          <cell r="C20">
            <v>1.6</v>
          </cell>
        </row>
        <row r="21">
          <cell r="B21">
            <v>195.32499999999999</v>
          </cell>
          <cell r="C21">
            <v>1.65</v>
          </cell>
        </row>
        <row r="22">
          <cell r="B22">
            <v>195.35</v>
          </cell>
          <cell r="C22">
            <v>1.7</v>
          </cell>
        </row>
        <row r="23">
          <cell r="B23">
            <v>195.375</v>
          </cell>
          <cell r="C23">
            <v>1.75</v>
          </cell>
        </row>
        <row r="24">
          <cell r="B24">
            <v>195.4</v>
          </cell>
          <cell r="C24">
            <v>1.8</v>
          </cell>
        </row>
        <row r="25">
          <cell r="B25">
            <v>195.42500000000001</v>
          </cell>
          <cell r="C25">
            <v>1.85</v>
          </cell>
        </row>
        <row r="26">
          <cell r="B26">
            <v>195.45</v>
          </cell>
          <cell r="C26">
            <v>1.9</v>
          </cell>
        </row>
        <row r="27">
          <cell r="B27">
            <v>195.47499999999999</v>
          </cell>
          <cell r="C27">
            <v>1.95</v>
          </cell>
        </row>
        <row r="28">
          <cell r="B28">
            <v>195.5</v>
          </cell>
          <cell r="C28">
            <v>2</v>
          </cell>
        </row>
        <row r="29">
          <cell r="B29">
            <v>195.52500000000001</v>
          </cell>
          <cell r="C29">
            <v>2.0499999999999998</v>
          </cell>
        </row>
        <row r="30">
          <cell r="B30">
            <v>195.55</v>
          </cell>
          <cell r="C30">
            <v>2.1</v>
          </cell>
        </row>
        <row r="31">
          <cell r="B31">
            <v>195.57499999999999</v>
          </cell>
          <cell r="C31">
            <v>2.15</v>
          </cell>
        </row>
        <row r="32">
          <cell r="B32">
            <v>195.6</v>
          </cell>
          <cell r="C32">
            <v>2.2000000000000002</v>
          </cell>
        </row>
        <row r="33">
          <cell r="B33">
            <v>195.625</v>
          </cell>
          <cell r="C33">
            <v>2.25</v>
          </cell>
        </row>
        <row r="34">
          <cell r="B34">
            <v>195.65</v>
          </cell>
          <cell r="C34">
            <v>2.2999999999999998</v>
          </cell>
        </row>
        <row r="35">
          <cell r="B35">
            <v>195.67500000000001</v>
          </cell>
          <cell r="C35">
            <v>2.35</v>
          </cell>
        </row>
        <row r="36">
          <cell r="B36">
            <v>195.7</v>
          </cell>
          <cell r="C36">
            <v>2.4</v>
          </cell>
        </row>
        <row r="37">
          <cell r="B37">
            <v>195.72499999999999</v>
          </cell>
          <cell r="C37">
            <v>2.4500000000000002</v>
          </cell>
        </row>
        <row r="38">
          <cell r="B38">
            <v>195.75</v>
          </cell>
          <cell r="C38">
            <v>2.5</v>
          </cell>
        </row>
        <row r="39">
          <cell r="B39">
            <v>195.77500000000001</v>
          </cell>
          <cell r="C39">
            <v>2.5499999999999998</v>
          </cell>
        </row>
        <row r="40">
          <cell r="B40">
            <v>195.8</v>
          </cell>
          <cell r="C40">
            <v>2.6</v>
          </cell>
        </row>
        <row r="41">
          <cell r="B41">
            <v>195.82499999999999</v>
          </cell>
          <cell r="C41">
            <v>2.65</v>
          </cell>
        </row>
        <row r="42">
          <cell r="B42">
            <v>195.85</v>
          </cell>
          <cell r="C42">
            <v>2.7</v>
          </cell>
        </row>
        <row r="43">
          <cell r="B43">
            <v>195.875</v>
          </cell>
          <cell r="C43">
            <v>2.75</v>
          </cell>
        </row>
        <row r="44">
          <cell r="B44">
            <v>195.9</v>
          </cell>
          <cell r="C44">
            <v>2.8</v>
          </cell>
        </row>
        <row r="45">
          <cell r="B45">
            <v>195.92500000000001</v>
          </cell>
          <cell r="C45">
            <v>2.85</v>
          </cell>
        </row>
        <row r="46">
          <cell r="B46">
            <v>195.95</v>
          </cell>
          <cell r="C46">
            <v>2.9</v>
          </cell>
        </row>
        <row r="47">
          <cell r="B47">
            <v>195.97499999999999</v>
          </cell>
          <cell r="C47">
            <v>2.95</v>
          </cell>
        </row>
        <row r="48">
          <cell r="B48">
            <v>196</v>
          </cell>
          <cell r="C48">
            <v>3</v>
          </cell>
        </row>
        <row r="49">
          <cell r="B49">
            <v>196.02500000000001</v>
          </cell>
          <cell r="C49">
            <v>3.0750000000000002</v>
          </cell>
        </row>
        <row r="50">
          <cell r="B50">
            <v>196.05</v>
          </cell>
          <cell r="C50">
            <v>3.15</v>
          </cell>
        </row>
        <row r="51">
          <cell r="B51">
            <v>196.07499999999999</v>
          </cell>
          <cell r="C51">
            <v>3.2250000000000001</v>
          </cell>
        </row>
        <row r="52">
          <cell r="B52">
            <v>196.1</v>
          </cell>
          <cell r="C52">
            <v>3.3</v>
          </cell>
        </row>
        <row r="53">
          <cell r="B53">
            <v>196.125</v>
          </cell>
          <cell r="C53">
            <v>3.375</v>
          </cell>
        </row>
        <row r="54">
          <cell r="B54">
            <v>196.15</v>
          </cell>
          <cell r="C54">
            <v>3.45</v>
          </cell>
        </row>
        <row r="55">
          <cell r="B55">
            <v>196.17500000000001</v>
          </cell>
          <cell r="C55">
            <v>3.5249999999999999</v>
          </cell>
        </row>
        <row r="56">
          <cell r="B56">
            <v>196.2</v>
          </cell>
          <cell r="C56">
            <v>3.6</v>
          </cell>
        </row>
        <row r="57">
          <cell r="B57">
            <v>196.22499999999999</v>
          </cell>
          <cell r="C57">
            <v>3.6749999999999998</v>
          </cell>
        </row>
        <row r="58">
          <cell r="B58">
            <v>196.25</v>
          </cell>
          <cell r="C58">
            <v>3.75</v>
          </cell>
        </row>
        <row r="59">
          <cell r="B59">
            <v>196.27500000000001</v>
          </cell>
          <cell r="C59">
            <v>3.8250000000000002</v>
          </cell>
        </row>
        <row r="60">
          <cell r="B60">
            <v>196.3</v>
          </cell>
          <cell r="C60">
            <v>3.9</v>
          </cell>
        </row>
        <row r="61">
          <cell r="B61">
            <v>196.32499999999999</v>
          </cell>
          <cell r="C61">
            <v>3.9750000000000001</v>
          </cell>
        </row>
        <row r="62">
          <cell r="B62">
            <v>196.35</v>
          </cell>
          <cell r="C62">
            <v>4.05</v>
          </cell>
        </row>
        <row r="63">
          <cell r="B63">
            <v>196.375</v>
          </cell>
          <cell r="C63">
            <v>4.125</v>
          </cell>
        </row>
        <row r="64">
          <cell r="B64">
            <v>196.4</v>
          </cell>
          <cell r="C64">
            <v>4.2</v>
          </cell>
        </row>
        <row r="65">
          <cell r="B65">
            <v>196.42500000000001</v>
          </cell>
          <cell r="C65">
            <v>4.2750000000000004</v>
          </cell>
        </row>
        <row r="66">
          <cell r="B66">
            <v>196.45</v>
          </cell>
          <cell r="C66">
            <v>4.3499999999999996</v>
          </cell>
        </row>
        <row r="67">
          <cell r="B67">
            <v>196.47499999999999</v>
          </cell>
          <cell r="C67">
            <v>4.4249999999999998</v>
          </cell>
        </row>
        <row r="68">
          <cell r="B68">
            <v>196.5</v>
          </cell>
          <cell r="C68">
            <v>4.5</v>
          </cell>
        </row>
        <row r="69">
          <cell r="B69">
            <v>196.52500000000001</v>
          </cell>
          <cell r="C69">
            <v>4.5750000000000002</v>
          </cell>
        </row>
        <row r="70">
          <cell r="B70">
            <v>196.55</v>
          </cell>
          <cell r="C70">
            <v>4.6500000000000004</v>
          </cell>
        </row>
        <row r="71">
          <cell r="B71">
            <v>196.57499999999999</v>
          </cell>
          <cell r="C71">
            <v>4.7249999999999996</v>
          </cell>
        </row>
        <row r="72">
          <cell r="B72">
            <v>196.6</v>
          </cell>
          <cell r="C72">
            <v>4.8</v>
          </cell>
        </row>
        <row r="73">
          <cell r="B73">
            <v>196.625</v>
          </cell>
          <cell r="C73">
            <v>4.875</v>
          </cell>
        </row>
        <row r="74">
          <cell r="B74">
            <v>196.65</v>
          </cell>
          <cell r="C74">
            <v>4.95</v>
          </cell>
        </row>
        <row r="75">
          <cell r="B75">
            <v>196.67500000000001</v>
          </cell>
          <cell r="C75">
            <v>5.0250000000000004</v>
          </cell>
        </row>
        <row r="76">
          <cell r="B76">
            <v>196.7</v>
          </cell>
          <cell r="C76">
            <v>5.0999999999999996</v>
          </cell>
        </row>
        <row r="77">
          <cell r="B77">
            <v>196.72499999999999</v>
          </cell>
          <cell r="C77">
            <v>5.1749999999999998</v>
          </cell>
        </row>
        <row r="78">
          <cell r="B78">
            <v>196.75</v>
          </cell>
          <cell r="C78">
            <v>5.25</v>
          </cell>
        </row>
        <row r="79">
          <cell r="B79">
            <v>196.77500000000001</v>
          </cell>
          <cell r="C79">
            <v>5.3250000000000002</v>
          </cell>
        </row>
        <row r="80">
          <cell r="B80">
            <v>196.8</v>
          </cell>
          <cell r="C80">
            <v>5.4</v>
          </cell>
        </row>
        <row r="81">
          <cell r="B81">
            <v>196.82499999999999</v>
          </cell>
          <cell r="C81">
            <v>5.4749999999999996</v>
          </cell>
        </row>
        <row r="82">
          <cell r="B82">
            <v>196.85</v>
          </cell>
          <cell r="C82">
            <v>5.55</v>
          </cell>
        </row>
        <row r="83">
          <cell r="B83">
            <v>196.875</v>
          </cell>
          <cell r="C83">
            <v>5.625</v>
          </cell>
        </row>
        <row r="84">
          <cell r="B84">
            <v>196.9</v>
          </cell>
          <cell r="C84">
            <v>5.7</v>
          </cell>
        </row>
        <row r="85">
          <cell r="B85">
            <v>196.92500000000001</v>
          </cell>
          <cell r="C85">
            <v>5.7750000000000004</v>
          </cell>
        </row>
        <row r="86">
          <cell r="B86">
            <v>196.95</v>
          </cell>
          <cell r="C86">
            <v>5.85</v>
          </cell>
        </row>
        <row r="87">
          <cell r="B87">
            <v>196.97499999999999</v>
          </cell>
          <cell r="C87">
            <v>5.9249999999999998</v>
          </cell>
        </row>
        <row r="88">
          <cell r="B88">
            <v>197</v>
          </cell>
          <cell r="C88">
            <v>6</v>
          </cell>
        </row>
        <row r="89">
          <cell r="B89">
            <v>197.02500000000001</v>
          </cell>
          <cell r="C89">
            <v>6.125</v>
          </cell>
        </row>
        <row r="90">
          <cell r="B90">
            <v>197.05</v>
          </cell>
          <cell r="C90">
            <v>6.25</v>
          </cell>
        </row>
        <row r="91">
          <cell r="B91">
            <v>197.07499999999999</v>
          </cell>
          <cell r="C91">
            <v>6.375</v>
          </cell>
        </row>
        <row r="92">
          <cell r="B92">
            <v>197.1</v>
          </cell>
          <cell r="C92">
            <v>6.5</v>
          </cell>
        </row>
        <row r="93">
          <cell r="B93">
            <v>197.125</v>
          </cell>
          <cell r="C93">
            <v>6.625</v>
          </cell>
        </row>
        <row r="94">
          <cell r="B94">
            <v>197.15</v>
          </cell>
          <cell r="C94">
            <v>6.75</v>
          </cell>
        </row>
        <row r="95">
          <cell r="B95">
            <v>197.17500000000001</v>
          </cell>
          <cell r="C95">
            <v>6.875</v>
          </cell>
        </row>
        <row r="96">
          <cell r="B96">
            <v>197.2</v>
          </cell>
          <cell r="C96">
            <v>7</v>
          </cell>
        </row>
        <row r="97">
          <cell r="B97">
            <v>197.22499999999999</v>
          </cell>
          <cell r="C97">
            <v>7.125</v>
          </cell>
        </row>
        <row r="98">
          <cell r="B98">
            <v>197.25</v>
          </cell>
          <cell r="C98">
            <v>7.25</v>
          </cell>
        </row>
        <row r="99">
          <cell r="B99">
            <v>197.27500000000001</v>
          </cell>
          <cell r="C99">
            <v>7.375</v>
          </cell>
        </row>
        <row r="100">
          <cell r="B100">
            <v>197.3</v>
          </cell>
          <cell r="C100">
            <v>7.5</v>
          </cell>
        </row>
        <row r="101">
          <cell r="B101">
            <v>197.32499999999999</v>
          </cell>
          <cell r="C101">
            <v>7.625</v>
          </cell>
        </row>
        <row r="102">
          <cell r="B102">
            <v>197.35</v>
          </cell>
          <cell r="C102">
            <v>7.75</v>
          </cell>
        </row>
        <row r="103">
          <cell r="B103">
            <v>197.375</v>
          </cell>
          <cell r="C103">
            <v>7.875</v>
          </cell>
        </row>
        <row r="104">
          <cell r="B104">
            <v>197.4</v>
          </cell>
          <cell r="C104">
            <v>8</v>
          </cell>
        </row>
        <row r="105">
          <cell r="B105">
            <v>197.42500000000001</v>
          </cell>
          <cell r="C105">
            <v>8.125</v>
          </cell>
        </row>
        <row r="106">
          <cell r="B106">
            <v>197.45</v>
          </cell>
          <cell r="C106">
            <v>8.25</v>
          </cell>
        </row>
        <row r="107">
          <cell r="B107">
            <v>197.47499999999999</v>
          </cell>
          <cell r="C107">
            <v>8.375</v>
          </cell>
        </row>
        <row r="108">
          <cell r="B108">
            <v>197.5</v>
          </cell>
          <cell r="C108">
            <v>8.5</v>
          </cell>
        </row>
        <row r="109">
          <cell r="B109">
            <v>197.52500000000001</v>
          </cell>
          <cell r="C109">
            <v>8.625</v>
          </cell>
        </row>
        <row r="110">
          <cell r="B110">
            <v>197.55000000000049</v>
          </cell>
          <cell r="C110">
            <v>8.75</v>
          </cell>
        </row>
        <row r="111">
          <cell r="B111">
            <v>197.5750000000005</v>
          </cell>
          <cell r="C111">
            <v>8.875</v>
          </cell>
        </row>
        <row r="112">
          <cell r="B112">
            <v>197.6</v>
          </cell>
          <cell r="C112">
            <v>9</v>
          </cell>
        </row>
        <row r="113">
          <cell r="B113">
            <v>197.625</v>
          </cell>
          <cell r="C113">
            <v>9.125</v>
          </cell>
        </row>
        <row r="114">
          <cell r="B114">
            <v>197.65</v>
          </cell>
          <cell r="C114">
            <v>9.25</v>
          </cell>
        </row>
        <row r="115">
          <cell r="B115">
            <v>197.67500000000001</v>
          </cell>
          <cell r="C115">
            <v>9.375</v>
          </cell>
        </row>
        <row r="116">
          <cell r="B116">
            <v>197.7</v>
          </cell>
          <cell r="C116">
            <v>9.5</v>
          </cell>
        </row>
        <row r="117">
          <cell r="B117">
            <v>197.72499999999999</v>
          </cell>
          <cell r="C117">
            <v>9.625</v>
          </cell>
        </row>
        <row r="118">
          <cell r="B118">
            <v>197.75</v>
          </cell>
          <cell r="C118">
            <v>9.75</v>
          </cell>
        </row>
        <row r="119">
          <cell r="B119">
            <v>197.77500000000001</v>
          </cell>
          <cell r="C119">
            <v>9.875</v>
          </cell>
        </row>
        <row r="120">
          <cell r="B120">
            <v>197.8</v>
          </cell>
          <cell r="C120">
            <v>10</v>
          </cell>
        </row>
        <row r="121">
          <cell r="B121">
            <v>197.82499999999999</v>
          </cell>
          <cell r="C121">
            <v>10.125</v>
          </cell>
        </row>
        <row r="122">
          <cell r="B122">
            <v>197.85</v>
          </cell>
          <cell r="C122">
            <v>10.25</v>
          </cell>
        </row>
        <row r="123">
          <cell r="B123">
            <v>197.875</v>
          </cell>
          <cell r="C123">
            <v>10.375</v>
          </cell>
        </row>
        <row r="124">
          <cell r="B124">
            <v>197.9</v>
          </cell>
          <cell r="C124">
            <v>10.5</v>
          </cell>
        </row>
        <row r="125">
          <cell r="B125">
            <v>197.92500000000001</v>
          </cell>
          <cell r="C125">
            <v>10.625</v>
          </cell>
        </row>
        <row r="126">
          <cell r="B126">
            <v>197.95</v>
          </cell>
          <cell r="C126">
            <v>10.75</v>
          </cell>
        </row>
        <row r="127">
          <cell r="B127">
            <v>197.97499999999999</v>
          </cell>
          <cell r="C127">
            <v>10.875</v>
          </cell>
        </row>
        <row r="128">
          <cell r="B128">
            <v>198</v>
          </cell>
          <cell r="C128">
            <v>11</v>
          </cell>
        </row>
        <row r="129">
          <cell r="B129">
            <v>198.02500000000001</v>
          </cell>
          <cell r="C129">
            <v>11.15</v>
          </cell>
        </row>
        <row r="130">
          <cell r="B130">
            <v>198.05</v>
          </cell>
          <cell r="C130">
            <v>11.3</v>
          </cell>
        </row>
        <row r="131">
          <cell r="B131">
            <v>198.07499999999999</v>
          </cell>
          <cell r="C131">
            <v>11.45</v>
          </cell>
        </row>
        <row r="132">
          <cell r="B132">
            <v>198.1</v>
          </cell>
          <cell r="C132">
            <v>11.6</v>
          </cell>
        </row>
        <row r="133">
          <cell r="B133">
            <v>198.125</v>
          </cell>
          <cell r="C133">
            <v>11.75</v>
          </cell>
        </row>
        <row r="134">
          <cell r="B134">
            <v>198.15</v>
          </cell>
          <cell r="C134">
            <v>11.9</v>
          </cell>
        </row>
        <row r="135">
          <cell r="B135">
            <v>198.17500000000001</v>
          </cell>
          <cell r="C135">
            <v>12.05</v>
          </cell>
        </row>
        <row r="136">
          <cell r="B136">
            <v>198.2</v>
          </cell>
          <cell r="C136">
            <v>12.2</v>
          </cell>
        </row>
        <row r="137">
          <cell r="B137">
            <v>198.22499999999999</v>
          </cell>
          <cell r="C137">
            <v>12.35</v>
          </cell>
        </row>
        <row r="138">
          <cell r="B138">
            <v>198.25</v>
          </cell>
          <cell r="C138">
            <v>12.5</v>
          </cell>
        </row>
        <row r="139">
          <cell r="B139">
            <v>198.27500000000001</v>
          </cell>
          <cell r="C139">
            <v>12.65</v>
          </cell>
        </row>
        <row r="140">
          <cell r="B140">
            <v>198.3</v>
          </cell>
          <cell r="C140">
            <v>12.8</v>
          </cell>
        </row>
        <row r="141">
          <cell r="B141">
            <v>198.32499999999999</v>
          </cell>
          <cell r="C141">
            <v>12.95</v>
          </cell>
        </row>
        <row r="142">
          <cell r="B142">
            <v>198.35</v>
          </cell>
          <cell r="C142">
            <v>13.1</v>
          </cell>
        </row>
        <row r="143">
          <cell r="B143">
            <v>198.375</v>
          </cell>
          <cell r="C143">
            <v>13.25</v>
          </cell>
        </row>
        <row r="144">
          <cell r="B144">
            <v>198.4</v>
          </cell>
          <cell r="C144">
            <v>13.4</v>
          </cell>
        </row>
        <row r="145">
          <cell r="B145">
            <v>198.42500000000001</v>
          </cell>
          <cell r="C145">
            <v>13.55</v>
          </cell>
        </row>
        <row r="146">
          <cell r="B146">
            <v>198.45</v>
          </cell>
          <cell r="C146">
            <v>13.7</v>
          </cell>
        </row>
        <row r="147">
          <cell r="B147">
            <v>198.47499999999999</v>
          </cell>
          <cell r="C147">
            <v>13.85</v>
          </cell>
        </row>
        <row r="148">
          <cell r="B148">
            <v>198.5</v>
          </cell>
          <cell r="C148">
            <v>14</v>
          </cell>
        </row>
        <row r="149">
          <cell r="B149">
            <v>198.52500000000001</v>
          </cell>
          <cell r="C149">
            <v>14.2</v>
          </cell>
        </row>
        <row r="150">
          <cell r="B150">
            <v>198.55</v>
          </cell>
          <cell r="C150">
            <v>14.4</v>
          </cell>
        </row>
        <row r="151">
          <cell r="B151">
            <v>198.57499999999999</v>
          </cell>
          <cell r="C151">
            <v>14.6</v>
          </cell>
        </row>
        <row r="152">
          <cell r="B152">
            <v>198.6</v>
          </cell>
          <cell r="C152">
            <v>14.8</v>
          </cell>
        </row>
        <row r="153">
          <cell r="B153">
            <v>198.625</v>
          </cell>
          <cell r="C153">
            <v>15</v>
          </cell>
        </row>
        <row r="154">
          <cell r="B154">
            <v>198.65</v>
          </cell>
          <cell r="C154">
            <v>15.2</v>
          </cell>
        </row>
        <row r="155">
          <cell r="B155">
            <v>198.67500000000001</v>
          </cell>
          <cell r="C155">
            <v>15.4</v>
          </cell>
        </row>
        <row r="156">
          <cell r="B156">
            <v>198.7</v>
          </cell>
          <cell r="C156">
            <v>15.6</v>
          </cell>
        </row>
        <row r="157">
          <cell r="B157">
            <v>198.72499999999999</v>
          </cell>
          <cell r="C157">
            <v>15.8</v>
          </cell>
        </row>
        <row r="158">
          <cell r="B158">
            <v>198.75</v>
          </cell>
          <cell r="C158">
            <v>16</v>
          </cell>
        </row>
        <row r="159">
          <cell r="B159">
            <v>198.77500000000001</v>
          </cell>
          <cell r="C159">
            <v>16.2</v>
          </cell>
        </row>
        <row r="160">
          <cell r="B160">
            <v>198.8</v>
          </cell>
          <cell r="C160">
            <v>16.399999999999999</v>
          </cell>
        </row>
        <row r="161">
          <cell r="B161">
            <v>198.82499999999999</v>
          </cell>
          <cell r="C161">
            <v>16.600000000000001</v>
          </cell>
        </row>
        <row r="162">
          <cell r="B162">
            <v>198.85</v>
          </cell>
          <cell r="C162">
            <v>16.8</v>
          </cell>
        </row>
        <row r="163">
          <cell r="B163">
            <v>198.875</v>
          </cell>
          <cell r="C163">
            <v>17</v>
          </cell>
        </row>
        <row r="164">
          <cell r="B164">
            <v>198.9</v>
          </cell>
          <cell r="C164">
            <v>17.2</v>
          </cell>
        </row>
        <row r="165">
          <cell r="B165">
            <v>198.92500000000001</v>
          </cell>
          <cell r="C165">
            <v>17.399999999999999</v>
          </cell>
        </row>
        <row r="166">
          <cell r="B166">
            <v>198.95</v>
          </cell>
          <cell r="C166">
            <v>17.600000000000001</v>
          </cell>
        </row>
        <row r="167">
          <cell r="B167">
            <v>198.97499999999999</v>
          </cell>
          <cell r="C167">
            <v>17.8</v>
          </cell>
        </row>
        <row r="168">
          <cell r="B168">
            <v>199</v>
          </cell>
          <cell r="C168">
            <v>18</v>
          </cell>
        </row>
        <row r="169">
          <cell r="B169">
            <v>199.02500000000001</v>
          </cell>
          <cell r="C169">
            <v>18.2</v>
          </cell>
        </row>
        <row r="170">
          <cell r="B170">
            <v>199.05</v>
          </cell>
          <cell r="C170">
            <v>18.399999999999999</v>
          </cell>
        </row>
        <row r="171">
          <cell r="B171">
            <v>199.07499999999999</v>
          </cell>
          <cell r="C171">
            <v>18.600000000000001</v>
          </cell>
        </row>
        <row r="172">
          <cell r="B172">
            <v>199.1</v>
          </cell>
          <cell r="C172">
            <v>18.8</v>
          </cell>
        </row>
        <row r="173">
          <cell r="B173">
            <v>199.125</v>
          </cell>
          <cell r="C173">
            <v>19</v>
          </cell>
        </row>
        <row r="174">
          <cell r="B174">
            <v>199.15</v>
          </cell>
          <cell r="C174">
            <v>19.2</v>
          </cell>
        </row>
        <row r="175">
          <cell r="B175">
            <v>199.17500000000001</v>
          </cell>
          <cell r="C175">
            <v>19.399999999999999</v>
          </cell>
        </row>
        <row r="176">
          <cell r="B176">
            <v>199.2</v>
          </cell>
          <cell r="C176">
            <v>19.600000000000001</v>
          </cell>
        </row>
        <row r="177">
          <cell r="B177">
            <v>199.22499999999999</v>
          </cell>
          <cell r="C177">
            <v>19.8</v>
          </cell>
        </row>
        <row r="178">
          <cell r="B178">
            <v>199.25</v>
          </cell>
          <cell r="C178">
            <v>20</v>
          </cell>
        </row>
        <row r="179">
          <cell r="B179">
            <v>199.27500000000001</v>
          </cell>
          <cell r="C179">
            <v>20.2</v>
          </cell>
        </row>
        <row r="180">
          <cell r="B180">
            <v>199.3</v>
          </cell>
          <cell r="C180">
            <v>20.399999999999999</v>
          </cell>
        </row>
        <row r="181">
          <cell r="B181">
            <v>199.32499999999999</v>
          </cell>
          <cell r="C181">
            <v>20.6</v>
          </cell>
        </row>
        <row r="182">
          <cell r="B182">
            <v>199.35</v>
          </cell>
          <cell r="C182">
            <v>20.8</v>
          </cell>
        </row>
        <row r="183">
          <cell r="B183">
            <v>199.375</v>
          </cell>
          <cell r="C183">
            <v>21</v>
          </cell>
        </row>
        <row r="184">
          <cell r="B184">
            <v>199.4</v>
          </cell>
          <cell r="C184">
            <v>21.2</v>
          </cell>
        </row>
        <row r="185">
          <cell r="B185">
            <v>199.42500000000001</v>
          </cell>
          <cell r="C185">
            <v>21.4</v>
          </cell>
        </row>
        <row r="186">
          <cell r="B186">
            <v>199.45</v>
          </cell>
          <cell r="C186">
            <v>21.6</v>
          </cell>
        </row>
        <row r="187">
          <cell r="B187">
            <v>199.47499999999999</v>
          </cell>
          <cell r="C187">
            <v>21.8</v>
          </cell>
        </row>
        <row r="188">
          <cell r="B188">
            <v>199.5</v>
          </cell>
          <cell r="C188">
            <v>22</v>
          </cell>
        </row>
        <row r="189">
          <cell r="B189">
            <v>199.52500000000001</v>
          </cell>
          <cell r="C189">
            <v>22.274999999999999</v>
          </cell>
        </row>
        <row r="190">
          <cell r="B190">
            <v>199.55</v>
          </cell>
          <cell r="C190">
            <v>22.55</v>
          </cell>
        </row>
        <row r="191">
          <cell r="B191">
            <v>199.57499999999999</v>
          </cell>
          <cell r="C191">
            <v>22.824999999999999</v>
          </cell>
        </row>
        <row r="192">
          <cell r="B192">
            <v>199.6</v>
          </cell>
          <cell r="C192">
            <v>23.1</v>
          </cell>
        </row>
        <row r="193">
          <cell r="B193">
            <v>199.625</v>
          </cell>
          <cell r="C193">
            <v>23.375</v>
          </cell>
        </row>
        <row r="194">
          <cell r="B194">
            <v>199.65</v>
          </cell>
          <cell r="C194">
            <v>23.65</v>
          </cell>
        </row>
        <row r="195">
          <cell r="B195">
            <v>199.67500000000001</v>
          </cell>
          <cell r="C195">
            <v>23.925000000000001</v>
          </cell>
        </row>
        <row r="196">
          <cell r="B196">
            <v>199.7</v>
          </cell>
          <cell r="C196">
            <v>24.2</v>
          </cell>
        </row>
        <row r="197">
          <cell r="B197">
            <v>199.72499999999999</v>
          </cell>
          <cell r="C197">
            <v>24.475000000000001</v>
          </cell>
        </row>
        <row r="198">
          <cell r="B198">
            <v>199.75</v>
          </cell>
          <cell r="C198">
            <v>24.75</v>
          </cell>
        </row>
        <row r="199">
          <cell r="B199">
            <v>199.77500000000001</v>
          </cell>
          <cell r="C199">
            <v>25.024999999999999</v>
          </cell>
        </row>
        <row r="200">
          <cell r="B200">
            <v>199.8</v>
          </cell>
          <cell r="C200">
            <v>25.3</v>
          </cell>
        </row>
        <row r="201">
          <cell r="B201">
            <v>199.82499999999999</v>
          </cell>
          <cell r="C201">
            <v>25.574999999999999</v>
          </cell>
        </row>
        <row r="202">
          <cell r="B202">
            <v>199.85</v>
          </cell>
          <cell r="C202">
            <v>25.85</v>
          </cell>
        </row>
        <row r="203">
          <cell r="B203">
            <v>199.875</v>
          </cell>
          <cell r="C203">
            <v>26.125</v>
          </cell>
        </row>
        <row r="204">
          <cell r="B204">
            <v>199.9</v>
          </cell>
          <cell r="C204">
            <v>26.4</v>
          </cell>
        </row>
        <row r="205">
          <cell r="B205">
            <v>199.92500000000001</v>
          </cell>
          <cell r="C205">
            <v>26.675000000000001</v>
          </cell>
        </row>
        <row r="206">
          <cell r="B206">
            <v>199.95</v>
          </cell>
          <cell r="C206">
            <v>26.95</v>
          </cell>
        </row>
        <row r="207">
          <cell r="B207">
            <v>199.97499999999999</v>
          </cell>
          <cell r="C207">
            <v>27.225000000000001</v>
          </cell>
        </row>
        <row r="208">
          <cell r="B208">
            <v>200</v>
          </cell>
          <cell r="C208">
            <v>27.5</v>
          </cell>
        </row>
        <row r="209">
          <cell r="B209">
            <v>200.02500000000001</v>
          </cell>
          <cell r="C209">
            <v>27.8</v>
          </cell>
        </row>
        <row r="210">
          <cell r="B210">
            <v>200.05</v>
          </cell>
          <cell r="C210">
            <v>28.1</v>
          </cell>
        </row>
        <row r="211">
          <cell r="B211">
            <v>200.07499999999999</v>
          </cell>
          <cell r="C211">
            <v>28.4</v>
          </cell>
        </row>
        <row r="212">
          <cell r="B212">
            <v>200.1</v>
          </cell>
          <cell r="C212">
            <v>28.7</v>
          </cell>
        </row>
        <row r="213">
          <cell r="B213">
            <v>200.12500000000108</v>
          </cell>
          <cell r="C213">
            <v>29</v>
          </cell>
        </row>
        <row r="214">
          <cell r="B214">
            <v>200.15000000000109</v>
          </cell>
          <cell r="C214">
            <v>29.3</v>
          </cell>
        </row>
        <row r="215">
          <cell r="B215">
            <v>200.17500000000109</v>
          </cell>
          <cell r="C215">
            <v>29.6</v>
          </cell>
        </row>
        <row r="216">
          <cell r="B216">
            <v>200.2000000000011</v>
          </cell>
          <cell r="C216">
            <v>29.9</v>
          </cell>
        </row>
        <row r="217">
          <cell r="B217">
            <v>200.2250000000011</v>
          </cell>
          <cell r="C217">
            <v>30.2</v>
          </cell>
        </row>
        <row r="218">
          <cell r="B218">
            <v>200.25000000000111</v>
          </cell>
          <cell r="C218">
            <v>30.5</v>
          </cell>
        </row>
        <row r="219">
          <cell r="B219">
            <v>200.27500000000111</v>
          </cell>
          <cell r="C219">
            <v>30.8</v>
          </cell>
        </row>
        <row r="220">
          <cell r="B220">
            <v>200.30000000000112</v>
          </cell>
          <cell r="C220">
            <v>31.1</v>
          </cell>
        </row>
        <row r="221">
          <cell r="B221">
            <v>200.32500000000113</v>
          </cell>
          <cell r="C221">
            <v>31.4</v>
          </cell>
        </row>
        <row r="222">
          <cell r="B222">
            <v>200.35000000000113</v>
          </cell>
          <cell r="C222">
            <v>31.7</v>
          </cell>
        </row>
        <row r="223">
          <cell r="B223">
            <v>200.37500000000114</v>
          </cell>
          <cell r="C223">
            <v>32</v>
          </cell>
        </row>
        <row r="224">
          <cell r="B224">
            <v>200.40000000000114</v>
          </cell>
          <cell r="C224">
            <v>32.299999999999997</v>
          </cell>
        </row>
        <row r="225">
          <cell r="B225">
            <v>200.42500000000115</v>
          </cell>
          <cell r="C225">
            <v>32.6</v>
          </cell>
        </row>
        <row r="226">
          <cell r="B226">
            <v>200.45000000000115</v>
          </cell>
          <cell r="C226">
            <v>32.9</v>
          </cell>
        </row>
        <row r="227">
          <cell r="B227">
            <v>200.47500000000116</v>
          </cell>
          <cell r="C227">
            <v>33.200000000000003</v>
          </cell>
        </row>
        <row r="228">
          <cell r="B228">
            <v>200.5</v>
          </cell>
          <cell r="C228">
            <v>33.49999999999995</v>
          </cell>
        </row>
        <row r="229">
          <cell r="B229">
            <v>200.52500000000001</v>
          </cell>
          <cell r="C229">
            <v>33.87499999999995</v>
          </cell>
        </row>
        <row r="230">
          <cell r="B230">
            <v>200.55</v>
          </cell>
          <cell r="C230">
            <v>34.24999999999995</v>
          </cell>
        </row>
        <row r="231">
          <cell r="B231">
            <v>200.57499999999999</v>
          </cell>
          <cell r="C231">
            <v>34.62499999999995</v>
          </cell>
        </row>
        <row r="232">
          <cell r="B232">
            <v>200.6</v>
          </cell>
          <cell r="C232">
            <v>34.99999999999995</v>
          </cell>
        </row>
        <row r="233">
          <cell r="B233">
            <v>200.625</v>
          </cell>
          <cell r="C233">
            <v>35.37499999999995</v>
          </cell>
        </row>
        <row r="234">
          <cell r="B234">
            <v>200.65</v>
          </cell>
          <cell r="C234">
            <v>35.74999999999995</v>
          </cell>
        </row>
        <row r="235">
          <cell r="B235">
            <v>200.67500000000001</v>
          </cell>
          <cell r="C235">
            <v>36.12499999999995</v>
          </cell>
        </row>
        <row r="236">
          <cell r="B236">
            <v>200.7</v>
          </cell>
          <cell r="C236">
            <v>36.49999999999995</v>
          </cell>
        </row>
        <row r="237">
          <cell r="B237">
            <v>200.72499999999999</v>
          </cell>
          <cell r="C237">
            <v>36.87499999999995</v>
          </cell>
        </row>
        <row r="238">
          <cell r="B238">
            <v>200.75</v>
          </cell>
          <cell r="C238">
            <v>37.24999999999995</v>
          </cell>
        </row>
        <row r="239">
          <cell r="B239">
            <v>200.77500000000001</v>
          </cell>
          <cell r="C239">
            <v>37.62499999999995</v>
          </cell>
        </row>
        <row r="240">
          <cell r="B240">
            <v>200.8</v>
          </cell>
          <cell r="C240">
            <v>37.99999999999995</v>
          </cell>
        </row>
        <row r="241">
          <cell r="B241">
            <v>200.82499999999999</v>
          </cell>
          <cell r="C241">
            <v>38.37499999999995</v>
          </cell>
        </row>
        <row r="242">
          <cell r="B242">
            <v>200.85</v>
          </cell>
          <cell r="C242">
            <v>38.74999999999995</v>
          </cell>
        </row>
        <row r="243">
          <cell r="B243">
            <v>200.875</v>
          </cell>
          <cell r="C243">
            <v>39.12499999999995</v>
          </cell>
        </row>
        <row r="244">
          <cell r="B244">
            <v>200.9</v>
          </cell>
          <cell r="C244">
            <v>39.49999999999995</v>
          </cell>
        </row>
        <row r="245">
          <cell r="B245">
            <v>200.92500000000001</v>
          </cell>
          <cell r="C245">
            <v>39.87499999999995</v>
          </cell>
        </row>
        <row r="246">
          <cell r="B246">
            <v>200.95</v>
          </cell>
          <cell r="C246">
            <v>40.24999999999995</v>
          </cell>
        </row>
        <row r="247">
          <cell r="B247">
            <v>200.97499999999999</v>
          </cell>
          <cell r="C247">
            <v>40.62499999999995</v>
          </cell>
        </row>
        <row r="248">
          <cell r="B248">
            <v>201</v>
          </cell>
          <cell r="C248">
            <v>41</v>
          </cell>
        </row>
        <row r="249">
          <cell r="B249">
            <v>201.02500000000001</v>
          </cell>
          <cell r="C249">
            <v>41.375</v>
          </cell>
        </row>
        <row r="250">
          <cell r="B250">
            <v>201.05</v>
          </cell>
          <cell r="C250">
            <v>41.75</v>
          </cell>
        </row>
        <row r="251">
          <cell r="B251">
            <v>201.07499999999999</v>
          </cell>
          <cell r="C251">
            <v>42.125</v>
          </cell>
        </row>
        <row r="252">
          <cell r="B252">
            <v>201.1</v>
          </cell>
          <cell r="C252">
            <v>42.5</v>
          </cell>
        </row>
        <row r="253">
          <cell r="B253">
            <v>201.125</v>
          </cell>
          <cell r="C253">
            <v>42.875</v>
          </cell>
        </row>
        <row r="254">
          <cell r="B254">
            <v>201.15</v>
          </cell>
          <cell r="C254">
            <v>43.25</v>
          </cell>
        </row>
        <row r="255">
          <cell r="B255">
            <v>201.17500000000001</v>
          </cell>
          <cell r="C255">
            <v>43.625</v>
          </cell>
        </row>
        <row r="256">
          <cell r="B256">
            <v>201.2</v>
          </cell>
          <cell r="C256">
            <v>44</v>
          </cell>
        </row>
        <row r="257">
          <cell r="B257">
            <v>201.22499999999999</v>
          </cell>
          <cell r="C257">
            <v>44.375</v>
          </cell>
        </row>
        <row r="258">
          <cell r="B258">
            <v>201.25</v>
          </cell>
          <cell r="C258">
            <v>44.75</v>
          </cell>
        </row>
        <row r="259">
          <cell r="B259">
            <v>201.27500000000001</v>
          </cell>
          <cell r="C259">
            <v>45.125</v>
          </cell>
        </row>
        <row r="260">
          <cell r="B260">
            <v>201.3</v>
          </cell>
          <cell r="C260">
            <v>45.5</v>
          </cell>
        </row>
        <row r="261">
          <cell r="B261">
            <v>201.32499999999999</v>
          </cell>
          <cell r="C261">
            <v>45.875</v>
          </cell>
        </row>
        <row r="262">
          <cell r="B262">
            <v>201.35</v>
          </cell>
          <cell r="C262">
            <v>46.25</v>
          </cell>
        </row>
        <row r="263">
          <cell r="B263">
            <v>201.375</v>
          </cell>
          <cell r="C263">
            <v>46.625</v>
          </cell>
        </row>
        <row r="264">
          <cell r="B264">
            <v>201.4</v>
          </cell>
          <cell r="C264">
            <v>47</v>
          </cell>
        </row>
        <row r="265">
          <cell r="B265">
            <v>201.42500000000001</v>
          </cell>
          <cell r="C265">
            <v>47.375</v>
          </cell>
        </row>
        <row r="266">
          <cell r="B266">
            <v>201.45</v>
          </cell>
          <cell r="C266">
            <v>47.75</v>
          </cell>
        </row>
        <row r="267">
          <cell r="B267">
            <v>201.47499999999999</v>
          </cell>
          <cell r="C267">
            <v>48.125</v>
          </cell>
        </row>
        <row r="268">
          <cell r="B268">
            <v>201.5</v>
          </cell>
          <cell r="C268">
            <v>48.5</v>
          </cell>
        </row>
        <row r="269">
          <cell r="B269">
            <v>201.52500000000001</v>
          </cell>
          <cell r="C269">
            <v>48.924999999999997</v>
          </cell>
        </row>
        <row r="270">
          <cell r="B270">
            <v>201.55</v>
          </cell>
          <cell r="C270">
            <v>49.35</v>
          </cell>
        </row>
        <row r="271">
          <cell r="B271">
            <v>201.57499999999999</v>
          </cell>
          <cell r="C271">
            <v>49.774999999999999</v>
          </cell>
        </row>
        <row r="272">
          <cell r="B272">
            <v>201.6</v>
          </cell>
          <cell r="C272">
            <v>50.2</v>
          </cell>
        </row>
        <row r="273">
          <cell r="B273">
            <v>201.625</v>
          </cell>
          <cell r="C273">
            <v>50.625</v>
          </cell>
        </row>
        <row r="274">
          <cell r="B274">
            <v>201.65</v>
          </cell>
          <cell r="C274">
            <v>51.05</v>
          </cell>
        </row>
        <row r="275">
          <cell r="B275">
            <v>201.67500000000001</v>
          </cell>
          <cell r="C275">
            <v>51.475000000000001</v>
          </cell>
        </row>
        <row r="276">
          <cell r="B276">
            <v>201.7</v>
          </cell>
          <cell r="C276">
            <v>51.9</v>
          </cell>
        </row>
        <row r="277">
          <cell r="B277">
            <v>201.72499999999999</v>
          </cell>
          <cell r="C277">
            <v>52.325000000000003</v>
          </cell>
        </row>
        <row r="278">
          <cell r="B278">
            <v>201.75</v>
          </cell>
          <cell r="C278">
            <v>52.75</v>
          </cell>
        </row>
        <row r="279">
          <cell r="B279">
            <v>201.77500000000001</v>
          </cell>
          <cell r="C279">
            <v>53.174999999999997</v>
          </cell>
        </row>
        <row r="280">
          <cell r="B280">
            <v>201.8</v>
          </cell>
          <cell r="C280">
            <v>53.6</v>
          </cell>
        </row>
        <row r="281">
          <cell r="B281">
            <v>201.82499999999999</v>
          </cell>
          <cell r="C281">
            <v>54.024999999999999</v>
          </cell>
        </row>
        <row r="282">
          <cell r="B282">
            <v>201.85</v>
          </cell>
          <cell r="C282">
            <v>54.45</v>
          </cell>
        </row>
        <row r="283">
          <cell r="B283">
            <v>201.875</v>
          </cell>
          <cell r="C283">
            <v>54.875</v>
          </cell>
        </row>
        <row r="284">
          <cell r="B284">
            <v>201.9</v>
          </cell>
          <cell r="C284">
            <v>55.3</v>
          </cell>
        </row>
        <row r="285">
          <cell r="B285">
            <v>201.92500000000001</v>
          </cell>
          <cell r="C285">
            <v>55.725000000000001</v>
          </cell>
        </row>
        <row r="286">
          <cell r="B286">
            <v>201.95</v>
          </cell>
          <cell r="C286">
            <v>56.15</v>
          </cell>
        </row>
        <row r="287">
          <cell r="B287">
            <v>201.97499999999999</v>
          </cell>
          <cell r="C287">
            <v>56.575000000000003</v>
          </cell>
        </row>
        <row r="288">
          <cell r="B288">
            <v>202</v>
          </cell>
          <cell r="C288">
            <v>57</v>
          </cell>
        </row>
        <row r="289">
          <cell r="B289">
            <v>202.02500000000001</v>
          </cell>
          <cell r="C289">
            <v>57.475000000000001</v>
          </cell>
        </row>
        <row r="290">
          <cell r="B290">
            <v>202.05</v>
          </cell>
          <cell r="C290">
            <v>57.95</v>
          </cell>
        </row>
        <row r="291">
          <cell r="B291">
            <v>202.07499999999999</v>
          </cell>
          <cell r="C291">
            <v>58.424999999999997</v>
          </cell>
        </row>
        <row r="292">
          <cell r="B292">
            <v>202.1</v>
          </cell>
          <cell r="C292">
            <v>58.9</v>
          </cell>
        </row>
        <row r="293">
          <cell r="B293">
            <v>202.125</v>
          </cell>
          <cell r="C293">
            <v>59.375</v>
          </cell>
        </row>
        <row r="294">
          <cell r="B294">
            <v>202.15</v>
          </cell>
          <cell r="C294">
            <v>59.85</v>
          </cell>
        </row>
        <row r="295">
          <cell r="B295">
            <v>202.17500000000001</v>
          </cell>
          <cell r="C295">
            <v>60.325000000000003</v>
          </cell>
        </row>
        <row r="296">
          <cell r="B296">
            <v>202.2</v>
          </cell>
          <cell r="C296">
            <v>60.8</v>
          </cell>
        </row>
        <row r="297">
          <cell r="B297">
            <v>202.22499999999999</v>
          </cell>
          <cell r="C297">
            <v>61.274999999999999</v>
          </cell>
        </row>
        <row r="298">
          <cell r="B298">
            <v>202.25</v>
          </cell>
          <cell r="C298">
            <v>61.75</v>
          </cell>
        </row>
        <row r="299">
          <cell r="B299">
            <v>202.27500000000001</v>
          </cell>
          <cell r="C299">
            <v>62.225000000000001</v>
          </cell>
        </row>
        <row r="300">
          <cell r="B300">
            <v>202.3</v>
          </cell>
          <cell r="C300">
            <v>62.7</v>
          </cell>
        </row>
        <row r="301">
          <cell r="B301">
            <v>202.32499999999999</v>
          </cell>
          <cell r="C301">
            <v>63.174999999999997</v>
          </cell>
        </row>
        <row r="302">
          <cell r="B302">
            <v>202.35</v>
          </cell>
          <cell r="C302">
            <v>63.65</v>
          </cell>
        </row>
        <row r="303">
          <cell r="B303">
            <v>202.375</v>
          </cell>
          <cell r="C303">
            <v>64.125</v>
          </cell>
        </row>
        <row r="304">
          <cell r="B304">
            <v>202.4</v>
          </cell>
          <cell r="C304">
            <v>64.599999999999994</v>
          </cell>
        </row>
        <row r="305">
          <cell r="B305">
            <v>202.42500000000001</v>
          </cell>
          <cell r="C305">
            <v>65.075000000000003</v>
          </cell>
        </row>
        <row r="306">
          <cell r="B306">
            <v>202.45</v>
          </cell>
          <cell r="C306">
            <v>65.55</v>
          </cell>
        </row>
        <row r="307">
          <cell r="B307">
            <v>202.47499999999999</v>
          </cell>
          <cell r="C307">
            <v>66.025000000000006</v>
          </cell>
        </row>
        <row r="308">
          <cell r="B308">
            <v>202.5</v>
          </cell>
          <cell r="C308">
            <v>66.5</v>
          </cell>
        </row>
        <row r="309">
          <cell r="B309">
            <v>202.52500000000001</v>
          </cell>
          <cell r="C309">
            <v>67.099999999999994</v>
          </cell>
        </row>
        <row r="310">
          <cell r="B310">
            <v>202.55</v>
          </cell>
          <cell r="C310">
            <v>67.7</v>
          </cell>
        </row>
        <row r="311">
          <cell r="B311">
            <v>202.57499999999999</v>
          </cell>
          <cell r="C311">
            <v>68.3</v>
          </cell>
        </row>
        <row r="312">
          <cell r="B312">
            <v>202.6</v>
          </cell>
          <cell r="C312">
            <v>68.900000000000006</v>
          </cell>
        </row>
        <row r="313">
          <cell r="B313">
            <v>202.625</v>
          </cell>
          <cell r="C313">
            <v>69.5</v>
          </cell>
        </row>
        <row r="314">
          <cell r="B314">
            <v>202.65</v>
          </cell>
          <cell r="C314">
            <v>70.099999999999994</v>
          </cell>
        </row>
        <row r="315">
          <cell r="B315">
            <v>202.67500000000001</v>
          </cell>
          <cell r="C315">
            <v>70.7</v>
          </cell>
        </row>
        <row r="316">
          <cell r="B316">
            <v>202.7</v>
          </cell>
          <cell r="C316">
            <v>71.3</v>
          </cell>
        </row>
        <row r="317">
          <cell r="B317">
            <v>202.72499999999999</v>
          </cell>
          <cell r="C317">
            <v>71.900000000000006</v>
          </cell>
        </row>
        <row r="318">
          <cell r="B318">
            <v>202.75</v>
          </cell>
          <cell r="C318">
            <v>72.5</v>
          </cell>
        </row>
        <row r="319">
          <cell r="B319">
            <v>202.77500000000001</v>
          </cell>
          <cell r="C319">
            <v>73.099999999999994</v>
          </cell>
        </row>
        <row r="320">
          <cell r="B320">
            <v>202.8</v>
          </cell>
          <cell r="C320">
            <v>73.7</v>
          </cell>
        </row>
        <row r="321">
          <cell r="B321">
            <v>202.82499999999999</v>
          </cell>
          <cell r="C321">
            <v>74.3</v>
          </cell>
        </row>
        <row r="322">
          <cell r="B322">
            <v>202.85</v>
          </cell>
          <cell r="C322">
            <v>74.900000000000006</v>
          </cell>
        </row>
        <row r="323">
          <cell r="B323">
            <v>202.875</v>
          </cell>
          <cell r="C323">
            <v>75.5</v>
          </cell>
        </row>
        <row r="324">
          <cell r="B324">
            <v>202.9</v>
          </cell>
          <cell r="C324">
            <v>76.099999999999994</v>
          </cell>
        </row>
        <row r="325">
          <cell r="B325">
            <v>202.92500000000001</v>
          </cell>
          <cell r="C325">
            <v>76.7</v>
          </cell>
        </row>
        <row r="326">
          <cell r="B326">
            <v>202.95</v>
          </cell>
          <cell r="C326">
            <v>77.3</v>
          </cell>
        </row>
        <row r="327">
          <cell r="B327">
            <v>202.97499999999999</v>
          </cell>
          <cell r="C327">
            <v>77.900000000000006</v>
          </cell>
        </row>
        <row r="328">
          <cell r="B328">
            <v>203</v>
          </cell>
          <cell r="C328">
            <v>78.5</v>
          </cell>
        </row>
        <row r="329">
          <cell r="B329">
            <v>203.02500000000001</v>
          </cell>
          <cell r="C329">
            <v>79.075000000000003</v>
          </cell>
        </row>
        <row r="330">
          <cell r="B330">
            <v>203.05</v>
          </cell>
          <cell r="C330">
            <v>79.650000000000006</v>
          </cell>
        </row>
        <row r="331">
          <cell r="B331">
            <v>203.07499999999999</v>
          </cell>
          <cell r="C331">
            <v>80.224999999999994</v>
          </cell>
        </row>
        <row r="332">
          <cell r="B332">
            <v>203.1</v>
          </cell>
          <cell r="C332">
            <v>80.8</v>
          </cell>
        </row>
        <row r="333">
          <cell r="B333">
            <v>203.125</v>
          </cell>
          <cell r="C333">
            <v>81.375</v>
          </cell>
        </row>
        <row r="334">
          <cell r="B334">
            <v>203.15</v>
          </cell>
          <cell r="C334">
            <v>81.95</v>
          </cell>
        </row>
        <row r="335">
          <cell r="B335">
            <v>203.17500000000001</v>
          </cell>
          <cell r="C335">
            <v>82.525000000000006</v>
          </cell>
        </row>
        <row r="336">
          <cell r="B336">
            <v>203.2</v>
          </cell>
          <cell r="C336">
            <v>83.1</v>
          </cell>
        </row>
        <row r="337">
          <cell r="B337">
            <v>203.22499999999999</v>
          </cell>
          <cell r="C337">
            <v>83.674999999999997</v>
          </cell>
        </row>
        <row r="338">
          <cell r="B338">
            <v>203.25</v>
          </cell>
          <cell r="C338">
            <v>84.25</v>
          </cell>
        </row>
        <row r="339">
          <cell r="B339">
            <v>203.27500000000001</v>
          </cell>
          <cell r="C339">
            <v>84.825000000000003</v>
          </cell>
        </row>
        <row r="340">
          <cell r="B340">
            <v>203.3</v>
          </cell>
          <cell r="C340">
            <v>85.4</v>
          </cell>
        </row>
        <row r="341">
          <cell r="B341">
            <v>203.32499999999999</v>
          </cell>
          <cell r="C341">
            <v>85.974999999999994</v>
          </cell>
        </row>
        <row r="342">
          <cell r="B342">
            <v>203.35</v>
          </cell>
          <cell r="C342">
            <v>86.55</v>
          </cell>
        </row>
        <row r="343">
          <cell r="B343">
            <v>203.375</v>
          </cell>
          <cell r="C343">
            <v>87.125</v>
          </cell>
        </row>
        <row r="344">
          <cell r="B344">
            <v>203.4</v>
          </cell>
          <cell r="C344">
            <v>87.7</v>
          </cell>
        </row>
        <row r="345">
          <cell r="B345">
            <v>203.42500000000001</v>
          </cell>
          <cell r="C345">
            <v>88.275000000000006</v>
          </cell>
        </row>
        <row r="346">
          <cell r="B346">
            <v>203.45</v>
          </cell>
          <cell r="C346">
            <v>88.85</v>
          </cell>
        </row>
        <row r="347">
          <cell r="B347">
            <v>203.47499999999999</v>
          </cell>
          <cell r="C347">
            <v>89.424999999999997</v>
          </cell>
        </row>
        <row r="348">
          <cell r="B348">
            <v>203.5</v>
          </cell>
          <cell r="C348">
            <v>90</v>
          </cell>
        </row>
        <row r="349">
          <cell r="B349">
            <v>203.52500000000001</v>
          </cell>
          <cell r="C349">
            <v>90.8</v>
          </cell>
        </row>
        <row r="350">
          <cell r="B350">
            <v>203.55</v>
          </cell>
          <cell r="C350">
            <v>91.6</v>
          </cell>
        </row>
        <row r="351">
          <cell r="B351">
            <v>203.57499999999999</v>
          </cell>
          <cell r="C351">
            <v>92.4</v>
          </cell>
        </row>
        <row r="352">
          <cell r="B352">
            <v>203.6</v>
          </cell>
          <cell r="C352">
            <v>93.2</v>
          </cell>
        </row>
        <row r="353">
          <cell r="B353">
            <v>203.625</v>
          </cell>
          <cell r="C353">
            <v>94</v>
          </cell>
        </row>
        <row r="354">
          <cell r="B354">
            <v>203.65</v>
          </cell>
          <cell r="C354">
            <v>94.8</v>
          </cell>
        </row>
        <row r="355">
          <cell r="B355">
            <v>203.67500000000001</v>
          </cell>
          <cell r="C355">
            <v>95.6</v>
          </cell>
        </row>
        <row r="356">
          <cell r="B356">
            <v>203.7</v>
          </cell>
          <cell r="C356">
            <v>96.4</v>
          </cell>
        </row>
        <row r="357">
          <cell r="B357">
            <v>203.72499999999999</v>
          </cell>
          <cell r="C357">
            <v>97.2</v>
          </cell>
        </row>
        <row r="358">
          <cell r="B358">
            <v>203.75</v>
          </cell>
          <cell r="C358">
            <v>98</v>
          </cell>
        </row>
        <row r="359">
          <cell r="B359">
            <v>203.77500000000001</v>
          </cell>
          <cell r="C359">
            <v>98.8</v>
          </cell>
        </row>
        <row r="360">
          <cell r="B360">
            <v>203.8</v>
          </cell>
          <cell r="C360">
            <v>99.6</v>
          </cell>
        </row>
        <row r="361">
          <cell r="B361">
            <v>203.82499999999999</v>
          </cell>
          <cell r="C361">
            <v>100.4</v>
          </cell>
        </row>
        <row r="362">
          <cell r="B362">
            <v>203.85</v>
          </cell>
          <cell r="C362">
            <v>101.2</v>
          </cell>
        </row>
        <row r="363">
          <cell r="B363">
            <v>203.875</v>
          </cell>
          <cell r="C363">
            <v>102</v>
          </cell>
        </row>
        <row r="364">
          <cell r="B364">
            <v>203.9</v>
          </cell>
          <cell r="C364">
            <v>102.8</v>
          </cell>
        </row>
        <row r="365">
          <cell r="B365">
            <v>203.92500000000001</v>
          </cell>
          <cell r="C365">
            <v>103.6</v>
          </cell>
        </row>
        <row r="366">
          <cell r="B366">
            <v>203.95</v>
          </cell>
          <cell r="C366">
            <v>104.4</v>
          </cell>
        </row>
        <row r="367">
          <cell r="B367">
            <v>203.97499999999999</v>
          </cell>
          <cell r="C367">
            <v>105.2</v>
          </cell>
        </row>
        <row r="368">
          <cell r="B368">
            <v>204</v>
          </cell>
          <cell r="C368">
            <v>106</v>
          </cell>
        </row>
        <row r="369">
          <cell r="B369">
            <v>204.02500000000001</v>
          </cell>
          <cell r="C369">
            <v>106.825</v>
          </cell>
        </row>
        <row r="370">
          <cell r="B370">
            <v>204.05</v>
          </cell>
          <cell r="C370">
            <v>107.65</v>
          </cell>
        </row>
        <row r="371">
          <cell r="B371">
            <v>204.07499999999999</v>
          </cell>
          <cell r="C371">
            <v>108.47499999999999</v>
          </cell>
        </row>
        <row r="372">
          <cell r="B372">
            <v>204.1</v>
          </cell>
          <cell r="C372">
            <v>109.3</v>
          </cell>
        </row>
        <row r="373">
          <cell r="B373">
            <v>204.125</v>
          </cell>
          <cell r="C373">
            <v>110.125</v>
          </cell>
        </row>
        <row r="374">
          <cell r="B374">
            <v>204.15</v>
          </cell>
          <cell r="C374">
            <v>110.95</v>
          </cell>
        </row>
        <row r="375">
          <cell r="B375">
            <v>204.17500000000001</v>
          </cell>
          <cell r="C375">
            <v>111.77500000000001</v>
          </cell>
        </row>
        <row r="376">
          <cell r="B376">
            <v>204.2</v>
          </cell>
          <cell r="C376">
            <v>112.6</v>
          </cell>
        </row>
        <row r="377">
          <cell r="B377">
            <v>204.22499999999999</v>
          </cell>
          <cell r="C377">
            <v>113.425</v>
          </cell>
        </row>
        <row r="378">
          <cell r="B378">
            <v>204.25</v>
          </cell>
          <cell r="C378">
            <v>114.25</v>
          </cell>
        </row>
        <row r="379">
          <cell r="B379">
            <v>204.27500000000001</v>
          </cell>
          <cell r="C379">
            <v>115.075</v>
          </cell>
        </row>
        <row r="380">
          <cell r="B380">
            <v>204.3</v>
          </cell>
          <cell r="C380">
            <v>115.9</v>
          </cell>
        </row>
        <row r="381">
          <cell r="B381">
            <v>204.32499999999999</v>
          </cell>
          <cell r="C381">
            <v>116.72499999999999</v>
          </cell>
        </row>
        <row r="382">
          <cell r="B382">
            <v>204.35</v>
          </cell>
          <cell r="C382">
            <v>117.55</v>
          </cell>
        </row>
        <row r="383">
          <cell r="B383">
            <v>204.375</v>
          </cell>
          <cell r="C383">
            <v>118.375</v>
          </cell>
        </row>
        <row r="384">
          <cell r="B384">
            <v>204.4</v>
          </cell>
          <cell r="C384">
            <v>119.2</v>
          </cell>
        </row>
        <row r="385">
          <cell r="B385">
            <v>204.42500000000001</v>
          </cell>
          <cell r="C385">
            <v>120.02500000000001</v>
          </cell>
        </row>
        <row r="386">
          <cell r="B386">
            <v>204.45</v>
          </cell>
          <cell r="C386">
            <v>120.85</v>
          </cell>
        </row>
        <row r="387">
          <cell r="B387">
            <v>204.47499999999999</v>
          </cell>
          <cell r="C387">
            <v>121.675</v>
          </cell>
        </row>
        <row r="388">
          <cell r="B388">
            <v>204.5</v>
          </cell>
          <cell r="C388">
            <v>122.5</v>
          </cell>
        </row>
        <row r="389">
          <cell r="B389">
            <v>204.52500000000001</v>
          </cell>
          <cell r="C389">
            <v>123.375</v>
          </cell>
        </row>
        <row r="390">
          <cell r="B390">
            <v>204.55</v>
          </cell>
          <cell r="C390">
            <v>124.25</v>
          </cell>
        </row>
        <row r="391">
          <cell r="B391">
            <v>204.57499999999999</v>
          </cell>
          <cell r="C391">
            <v>125.125</v>
          </cell>
        </row>
        <row r="392">
          <cell r="B392">
            <v>204.6</v>
          </cell>
          <cell r="C392">
            <v>126</v>
          </cell>
        </row>
        <row r="393">
          <cell r="B393">
            <v>204.625</v>
          </cell>
          <cell r="C393">
            <v>126.875</v>
          </cell>
        </row>
        <row r="394">
          <cell r="B394">
            <v>204.65</v>
          </cell>
          <cell r="C394">
            <v>127.75</v>
          </cell>
        </row>
        <row r="395">
          <cell r="B395">
            <v>204.67500000000001</v>
          </cell>
          <cell r="C395">
            <v>128.625</v>
          </cell>
        </row>
        <row r="396">
          <cell r="B396">
            <v>204.7</v>
          </cell>
          <cell r="C396">
            <v>129.5</v>
          </cell>
        </row>
        <row r="397">
          <cell r="B397">
            <v>204.72499999999999</v>
          </cell>
          <cell r="C397">
            <v>130.375</v>
          </cell>
        </row>
        <row r="398">
          <cell r="B398">
            <v>204.75</v>
          </cell>
          <cell r="C398">
            <v>131.25</v>
          </cell>
        </row>
        <row r="399">
          <cell r="B399">
            <v>204.77500000000001</v>
          </cell>
          <cell r="C399">
            <v>132.125</v>
          </cell>
        </row>
        <row r="400">
          <cell r="B400">
            <v>204.8</v>
          </cell>
          <cell r="C400">
            <v>133</v>
          </cell>
        </row>
        <row r="401">
          <cell r="B401">
            <v>204.82499999999999</v>
          </cell>
          <cell r="C401">
            <v>133.875</v>
          </cell>
        </row>
        <row r="402">
          <cell r="B402">
            <v>204.85</v>
          </cell>
          <cell r="C402">
            <v>134.75</v>
          </cell>
        </row>
        <row r="403">
          <cell r="B403">
            <v>204.875</v>
          </cell>
          <cell r="C403">
            <v>135.625</v>
          </cell>
        </row>
        <row r="404">
          <cell r="B404">
            <v>204.9</v>
          </cell>
          <cell r="C404">
            <v>136.5</v>
          </cell>
        </row>
        <row r="405">
          <cell r="B405">
            <v>204.92500000000001</v>
          </cell>
          <cell r="C405">
            <v>137.375</v>
          </cell>
        </row>
        <row r="406">
          <cell r="B406">
            <v>204.95</v>
          </cell>
          <cell r="C406">
            <v>138.25</v>
          </cell>
        </row>
        <row r="407">
          <cell r="B407">
            <v>204.97499999999999</v>
          </cell>
          <cell r="C407">
            <v>139.125</v>
          </cell>
        </row>
        <row r="408">
          <cell r="B408">
            <v>205</v>
          </cell>
          <cell r="C408">
            <v>140</v>
          </cell>
        </row>
        <row r="409">
          <cell r="B409">
            <v>205.02500000000001</v>
          </cell>
          <cell r="C409">
            <v>141</v>
          </cell>
        </row>
        <row r="410">
          <cell r="B410">
            <v>205.05</v>
          </cell>
          <cell r="C410">
            <v>142</v>
          </cell>
        </row>
        <row r="411">
          <cell r="B411">
            <v>205.07499999999999</v>
          </cell>
          <cell r="C411">
            <v>143</v>
          </cell>
        </row>
        <row r="412">
          <cell r="B412">
            <v>205.1</v>
          </cell>
          <cell r="C412">
            <v>144</v>
          </cell>
        </row>
        <row r="413">
          <cell r="B413">
            <v>205.125</v>
          </cell>
          <cell r="C413">
            <v>145</v>
          </cell>
        </row>
        <row r="414">
          <cell r="B414">
            <v>205.15</v>
          </cell>
          <cell r="C414">
            <v>146</v>
          </cell>
        </row>
        <row r="415">
          <cell r="B415">
            <v>205.17500000000001</v>
          </cell>
          <cell r="C415">
            <v>147</v>
          </cell>
        </row>
        <row r="416">
          <cell r="B416">
            <v>205.2</v>
          </cell>
          <cell r="C416">
            <v>148</v>
          </cell>
        </row>
        <row r="417">
          <cell r="B417">
            <v>205.22499999999999</v>
          </cell>
          <cell r="C417">
            <v>149</v>
          </cell>
        </row>
        <row r="418">
          <cell r="B418">
            <v>205.25</v>
          </cell>
          <cell r="C418">
            <v>150</v>
          </cell>
        </row>
        <row r="419">
          <cell r="B419">
            <v>205.27500000000001</v>
          </cell>
          <cell r="C419">
            <v>151</v>
          </cell>
        </row>
        <row r="420">
          <cell r="B420">
            <v>205.3</v>
          </cell>
          <cell r="C420">
            <v>152</v>
          </cell>
        </row>
        <row r="421">
          <cell r="B421">
            <v>205.32499999999999</v>
          </cell>
          <cell r="C421">
            <v>153</v>
          </cell>
        </row>
        <row r="422">
          <cell r="B422">
            <v>205.35</v>
          </cell>
          <cell r="C422">
            <v>154</v>
          </cell>
        </row>
        <row r="423">
          <cell r="B423">
            <v>205.375</v>
          </cell>
          <cell r="C423">
            <v>155</v>
          </cell>
        </row>
        <row r="424">
          <cell r="B424">
            <v>205.4</v>
          </cell>
          <cell r="C424">
            <v>156</v>
          </cell>
        </row>
        <row r="425">
          <cell r="B425">
            <v>205.42500000000001</v>
          </cell>
          <cell r="C425">
            <v>157</v>
          </cell>
        </row>
        <row r="426">
          <cell r="B426">
            <v>205.45</v>
          </cell>
          <cell r="C426">
            <v>158</v>
          </cell>
        </row>
        <row r="427">
          <cell r="B427">
            <v>205.47499999999999</v>
          </cell>
          <cell r="C427">
            <v>159</v>
          </cell>
        </row>
        <row r="428">
          <cell r="B428">
            <v>205.5</v>
          </cell>
          <cell r="C428">
            <v>160</v>
          </cell>
        </row>
        <row r="429">
          <cell r="B429">
            <v>205.52500000000001</v>
          </cell>
          <cell r="C429">
            <v>161</v>
          </cell>
        </row>
        <row r="430">
          <cell r="B430">
            <v>205.55</v>
          </cell>
          <cell r="C430">
            <v>162</v>
          </cell>
        </row>
        <row r="431">
          <cell r="B431">
            <v>205.57499999999999</v>
          </cell>
          <cell r="C431">
            <v>163</v>
          </cell>
        </row>
        <row r="432">
          <cell r="B432">
            <v>205.6</v>
          </cell>
          <cell r="C432">
            <v>164</v>
          </cell>
        </row>
        <row r="433">
          <cell r="B433">
            <v>205.625</v>
          </cell>
          <cell r="C433">
            <v>165</v>
          </cell>
        </row>
        <row r="434">
          <cell r="B434">
            <v>205.65</v>
          </cell>
          <cell r="C434">
            <v>166</v>
          </cell>
        </row>
        <row r="435">
          <cell r="B435">
            <v>205.67500000000001</v>
          </cell>
          <cell r="C435">
            <v>167</v>
          </cell>
        </row>
        <row r="436">
          <cell r="B436">
            <v>205.7</v>
          </cell>
          <cell r="C436">
            <v>168</v>
          </cell>
        </row>
        <row r="437">
          <cell r="B437">
            <v>205.72499999999999</v>
          </cell>
          <cell r="C437">
            <v>169</v>
          </cell>
        </row>
        <row r="438">
          <cell r="B438">
            <v>205.75</v>
          </cell>
          <cell r="C438">
            <v>170</v>
          </cell>
        </row>
        <row r="439">
          <cell r="B439">
            <v>205.77500000000001</v>
          </cell>
          <cell r="C439">
            <v>171</v>
          </cell>
        </row>
        <row r="440">
          <cell r="B440">
            <v>205.8</v>
          </cell>
          <cell r="C440">
            <v>172</v>
          </cell>
        </row>
        <row r="441">
          <cell r="B441">
            <v>205.82499999999999</v>
          </cell>
          <cell r="C441">
            <v>173</v>
          </cell>
        </row>
        <row r="442">
          <cell r="B442">
            <v>205.85</v>
          </cell>
          <cell r="C442">
            <v>174</v>
          </cell>
        </row>
        <row r="443">
          <cell r="B443">
            <v>205.875</v>
          </cell>
          <cell r="C443">
            <v>175</v>
          </cell>
        </row>
        <row r="444">
          <cell r="B444">
            <v>205.9</v>
          </cell>
          <cell r="C444">
            <v>176</v>
          </cell>
        </row>
        <row r="445">
          <cell r="B445">
            <v>205.92500000000001</v>
          </cell>
          <cell r="C445">
            <v>177</v>
          </cell>
        </row>
        <row r="446">
          <cell r="B446">
            <v>205.95</v>
          </cell>
          <cell r="C446">
            <v>178</v>
          </cell>
        </row>
        <row r="447">
          <cell r="B447">
            <v>205.97499999999999</v>
          </cell>
          <cell r="C447">
            <v>179</v>
          </cell>
        </row>
        <row r="448">
          <cell r="B448">
            <v>206</v>
          </cell>
          <cell r="C448">
            <v>180</v>
          </cell>
        </row>
        <row r="449">
          <cell r="B449">
            <v>206.02500000000001</v>
          </cell>
          <cell r="C449">
            <v>181.15</v>
          </cell>
        </row>
        <row r="450">
          <cell r="B450">
            <v>206.05</v>
          </cell>
          <cell r="C450">
            <v>182.3</v>
          </cell>
        </row>
        <row r="451">
          <cell r="B451">
            <v>206.07499999999999</v>
          </cell>
          <cell r="C451">
            <v>183.45</v>
          </cell>
        </row>
        <row r="452">
          <cell r="B452">
            <v>206.1</v>
          </cell>
          <cell r="C452">
            <v>184.6</v>
          </cell>
        </row>
        <row r="453">
          <cell r="B453">
            <v>206.125</v>
          </cell>
          <cell r="C453">
            <v>185.75</v>
          </cell>
        </row>
        <row r="454">
          <cell r="B454">
            <v>206.15</v>
          </cell>
          <cell r="C454">
            <v>186.9</v>
          </cell>
        </row>
        <row r="455">
          <cell r="B455">
            <v>206.17500000000001</v>
          </cell>
          <cell r="C455">
            <v>188.05</v>
          </cell>
        </row>
        <row r="456">
          <cell r="B456">
            <v>206.2</v>
          </cell>
          <cell r="C456">
            <v>189.2</v>
          </cell>
        </row>
        <row r="457">
          <cell r="B457">
            <v>206.22499999999999</v>
          </cell>
          <cell r="C457">
            <v>190.35</v>
          </cell>
        </row>
        <row r="458">
          <cell r="B458">
            <v>206.25</v>
          </cell>
          <cell r="C458">
            <v>191.5</v>
          </cell>
        </row>
        <row r="459">
          <cell r="B459">
            <v>206.27500000000001</v>
          </cell>
          <cell r="C459">
            <v>192.65</v>
          </cell>
        </row>
        <row r="460">
          <cell r="B460">
            <v>206.3</v>
          </cell>
          <cell r="C460">
            <v>193.8</v>
          </cell>
        </row>
        <row r="461">
          <cell r="B461">
            <v>206.32499999999999</v>
          </cell>
          <cell r="C461">
            <v>194.95</v>
          </cell>
        </row>
        <row r="462">
          <cell r="B462">
            <v>206.35</v>
          </cell>
          <cell r="C462">
            <v>196.1</v>
          </cell>
        </row>
        <row r="463">
          <cell r="B463">
            <v>206.375</v>
          </cell>
          <cell r="C463">
            <v>197.25</v>
          </cell>
        </row>
        <row r="464">
          <cell r="B464">
            <v>206.4</v>
          </cell>
          <cell r="C464">
            <v>198.4</v>
          </cell>
        </row>
        <row r="465">
          <cell r="B465">
            <v>206.42500000000001</v>
          </cell>
          <cell r="C465">
            <v>199.55</v>
          </cell>
        </row>
        <row r="466">
          <cell r="B466">
            <v>206.45</v>
          </cell>
          <cell r="C466">
            <v>200.7</v>
          </cell>
        </row>
        <row r="467">
          <cell r="B467">
            <v>206.47499999999999</v>
          </cell>
          <cell r="C467">
            <v>201.85</v>
          </cell>
        </row>
        <row r="468">
          <cell r="B468">
            <v>206.5</v>
          </cell>
          <cell r="C468">
            <v>203</v>
          </cell>
        </row>
        <row r="469">
          <cell r="B469">
            <v>206.52500000000001</v>
          </cell>
          <cell r="C469">
            <v>204.17500000000001</v>
          </cell>
        </row>
        <row r="470">
          <cell r="B470">
            <v>206.55</v>
          </cell>
          <cell r="C470">
            <v>205.35</v>
          </cell>
        </row>
        <row r="471">
          <cell r="B471">
            <v>206.57499999999999</v>
          </cell>
          <cell r="C471">
            <v>206.52500000000001</v>
          </cell>
        </row>
        <row r="472">
          <cell r="B472">
            <v>206.6</v>
          </cell>
          <cell r="C472">
            <v>207.7</v>
          </cell>
        </row>
        <row r="473">
          <cell r="B473">
            <v>206.625</v>
          </cell>
          <cell r="C473">
            <v>208.875</v>
          </cell>
        </row>
        <row r="474">
          <cell r="B474">
            <v>206.65</v>
          </cell>
          <cell r="C474">
            <v>210.05</v>
          </cell>
        </row>
        <row r="475">
          <cell r="B475">
            <v>206.67500000000001</v>
          </cell>
          <cell r="C475">
            <v>211.22499999999999</v>
          </cell>
        </row>
        <row r="476">
          <cell r="B476">
            <v>206.7</v>
          </cell>
          <cell r="C476">
            <v>212.4</v>
          </cell>
        </row>
        <row r="477">
          <cell r="B477">
            <v>206.72499999999999</v>
          </cell>
          <cell r="C477">
            <v>213.57499999999999</v>
          </cell>
        </row>
        <row r="478">
          <cell r="B478">
            <v>206.75</v>
          </cell>
          <cell r="C478">
            <v>214.75</v>
          </cell>
        </row>
        <row r="479">
          <cell r="B479">
            <v>206.77500000000001</v>
          </cell>
          <cell r="C479">
            <v>215.92500000000001</v>
          </cell>
        </row>
        <row r="480">
          <cell r="B480">
            <v>206.8</v>
          </cell>
          <cell r="C480">
            <v>217.1</v>
          </cell>
        </row>
        <row r="481">
          <cell r="B481">
            <v>206.82499999999999</v>
          </cell>
          <cell r="C481">
            <v>218.27500000000001</v>
          </cell>
        </row>
        <row r="482">
          <cell r="B482">
            <v>206.85</v>
          </cell>
          <cell r="C482">
            <v>219.45</v>
          </cell>
        </row>
        <row r="483">
          <cell r="B483">
            <v>206.875</v>
          </cell>
          <cell r="C483">
            <v>220.625</v>
          </cell>
        </row>
        <row r="484">
          <cell r="B484">
            <v>206.9</v>
          </cell>
          <cell r="C484">
            <v>221.8</v>
          </cell>
        </row>
        <row r="485">
          <cell r="B485">
            <v>206.92500000000001</v>
          </cell>
          <cell r="C485">
            <v>222.97499999999999</v>
          </cell>
        </row>
        <row r="486">
          <cell r="B486">
            <v>206.95</v>
          </cell>
          <cell r="C486">
            <v>224.15</v>
          </cell>
        </row>
        <row r="487">
          <cell r="B487">
            <v>206.97499999999999</v>
          </cell>
          <cell r="C487">
            <v>225.32499999999999</v>
          </cell>
        </row>
        <row r="488">
          <cell r="B488">
            <v>207</v>
          </cell>
          <cell r="C488">
            <v>226.5</v>
          </cell>
        </row>
        <row r="489">
          <cell r="B489">
            <v>207.02500000000001</v>
          </cell>
          <cell r="C489">
            <v>227.8</v>
          </cell>
        </row>
        <row r="490">
          <cell r="B490">
            <v>207.05</v>
          </cell>
          <cell r="C490">
            <v>229.1</v>
          </cell>
        </row>
        <row r="491">
          <cell r="B491">
            <v>207.07499999999999</v>
          </cell>
          <cell r="C491">
            <v>230.4</v>
          </cell>
        </row>
        <row r="492">
          <cell r="B492">
            <v>207.1</v>
          </cell>
          <cell r="C492">
            <v>231.7</v>
          </cell>
        </row>
        <row r="493">
          <cell r="B493">
            <v>207.125</v>
          </cell>
          <cell r="C493">
            <v>233</v>
          </cell>
        </row>
        <row r="494">
          <cell r="B494">
            <v>207.15</v>
          </cell>
          <cell r="C494">
            <v>234.3</v>
          </cell>
        </row>
        <row r="495">
          <cell r="B495">
            <v>207.17500000000001</v>
          </cell>
          <cell r="C495">
            <v>235.6</v>
          </cell>
        </row>
        <row r="496">
          <cell r="B496">
            <v>207.2</v>
          </cell>
          <cell r="C496">
            <v>236.9</v>
          </cell>
        </row>
        <row r="497">
          <cell r="B497">
            <v>207.22499999999999</v>
          </cell>
          <cell r="C497">
            <v>238.2</v>
          </cell>
        </row>
        <row r="498">
          <cell r="B498">
            <v>207.25</v>
          </cell>
          <cell r="C498">
            <v>239.5</v>
          </cell>
        </row>
        <row r="499">
          <cell r="B499">
            <v>207.27500000000001</v>
          </cell>
          <cell r="C499">
            <v>240.8</v>
          </cell>
        </row>
        <row r="500">
          <cell r="B500">
            <v>207.3</v>
          </cell>
          <cell r="C500">
            <v>242.1</v>
          </cell>
        </row>
        <row r="501">
          <cell r="B501">
            <v>207.32499999999999</v>
          </cell>
          <cell r="C501">
            <v>243.4</v>
          </cell>
        </row>
        <row r="502">
          <cell r="B502">
            <v>207.35</v>
          </cell>
          <cell r="C502">
            <v>244.7</v>
          </cell>
        </row>
        <row r="503">
          <cell r="B503">
            <v>207.375</v>
          </cell>
          <cell r="C503">
            <v>246</v>
          </cell>
        </row>
        <row r="504">
          <cell r="B504">
            <v>207.4</v>
          </cell>
          <cell r="C504">
            <v>247.3</v>
          </cell>
        </row>
        <row r="505">
          <cell r="B505">
            <v>207.42500000000001</v>
          </cell>
          <cell r="C505">
            <v>248.6</v>
          </cell>
        </row>
        <row r="506">
          <cell r="B506">
            <v>207.45</v>
          </cell>
          <cell r="C506">
            <v>249.9</v>
          </cell>
        </row>
        <row r="507">
          <cell r="B507">
            <v>207.47499999999999</v>
          </cell>
          <cell r="C507">
            <v>251.2</v>
          </cell>
        </row>
        <row r="508">
          <cell r="B508">
            <v>207.5</v>
          </cell>
          <cell r="C508">
            <v>252.5</v>
          </cell>
        </row>
        <row r="509">
          <cell r="B509">
            <v>207.52500000000001</v>
          </cell>
          <cell r="C509">
            <v>253.92500000000001</v>
          </cell>
        </row>
        <row r="510">
          <cell r="B510">
            <v>207.55</v>
          </cell>
          <cell r="C510">
            <v>255.35</v>
          </cell>
        </row>
        <row r="511">
          <cell r="B511">
            <v>207.57499999999999</v>
          </cell>
          <cell r="C511">
            <v>256.77499999999998</v>
          </cell>
        </row>
        <row r="512">
          <cell r="B512">
            <v>207.6</v>
          </cell>
          <cell r="C512">
            <v>258.2</v>
          </cell>
        </row>
        <row r="513">
          <cell r="B513">
            <v>207.625</v>
          </cell>
          <cell r="C513">
            <v>259.625</v>
          </cell>
        </row>
        <row r="514">
          <cell r="B514">
            <v>207.65</v>
          </cell>
          <cell r="C514">
            <v>261.05</v>
          </cell>
        </row>
        <row r="515">
          <cell r="B515">
            <v>207.67500000000001</v>
          </cell>
          <cell r="C515">
            <v>262.47500000000002</v>
          </cell>
        </row>
        <row r="516">
          <cell r="B516">
            <v>207.7</v>
          </cell>
          <cell r="C516">
            <v>263.89999999999998</v>
          </cell>
        </row>
        <row r="517">
          <cell r="B517">
            <v>207.72499999999999</v>
          </cell>
          <cell r="C517">
            <v>265.32499999999999</v>
          </cell>
        </row>
        <row r="518">
          <cell r="B518">
            <v>207.75</v>
          </cell>
          <cell r="C518">
            <v>266.75</v>
          </cell>
        </row>
        <row r="519">
          <cell r="B519">
            <v>207.77500000000001</v>
          </cell>
          <cell r="C519">
            <v>268.17500000000001</v>
          </cell>
        </row>
        <row r="520">
          <cell r="B520">
            <v>207.8</v>
          </cell>
          <cell r="C520">
            <v>269.60000000000002</v>
          </cell>
        </row>
        <row r="521">
          <cell r="B521">
            <v>207.82499999999999</v>
          </cell>
          <cell r="C521">
            <v>271.02499999999998</v>
          </cell>
        </row>
        <row r="522">
          <cell r="B522">
            <v>207.85</v>
          </cell>
          <cell r="C522">
            <v>272.45</v>
          </cell>
        </row>
        <row r="523">
          <cell r="B523">
            <v>207.875</v>
          </cell>
          <cell r="C523">
            <v>273.875</v>
          </cell>
        </row>
        <row r="524">
          <cell r="B524">
            <v>207.9</v>
          </cell>
          <cell r="C524">
            <v>275.3</v>
          </cell>
        </row>
        <row r="525">
          <cell r="B525">
            <v>207.92500000000001</v>
          </cell>
          <cell r="C525">
            <v>276.72500000000002</v>
          </cell>
        </row>
        <row r="526">
          <cell r="B526">
            <v>207.95</v>
          </cell>
          <cell r="C526">
            <v>278.14999999999998</v>
          </cell>
        </row>
        <row r="527">
          <cell r="B527">
            <v>207.97499999999999</v>
          </cell>
          <cell r="C527">
            <v>279.57499999999999</v>
          </cell>
        </row>
        <row r="528">
          <cell r="B528">
            <v>208</v>
          </cell>
          <cell r="C528">
            <v>281</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BHUSAWAL"/>
      <sheetName val="F1(Bhu)"/>
      <sheetName val="F2.1(Bhu)"/>
      <sheetName val="F2.2(Bhu)"/>
      <sheetName val="F2.3(Bhu)"/>
      <sheetName val="F2.6(Bhu)"/>
      <sheetName val="F3(Bhu)"/>
      <sheetName val="F3.1(Bhu)"/>
      <sheetName val="F3.2(Bhu)"/>
      <sheetName val="F3.3(Bhu)"/>
      <sheetName val="F4(Bhu)"/>
      <sheetName val="F5(Bhu)"/>
      <sheetName val="F5.1(Bhu)"/>
      <sheetName val="F5.2(Bhu)"/>
      <sheetName val="F5.3(Bhu)"/>
      <sheetName val="F5.4(Bhu)"/>
      <sheetName val="F6(Bhu)"/>
      <sheetName val="F11(Bhu)"/>
      <sheetName val="F12(Bhu)"/>
      <sheetName val="Chandrapur"/>
      <sheetName val="F1(Cha)"/>
      <sheetName val="F2.1(Cha)"/>
      <sheetName val="F2.2(Cha)"/>
      <sheetName val="F2.3(Cha)"/>
      <sheetName val="F2.6(Cha)"/>
      <sheetName val="F3(Cha)"/>
      <sheetName val="F3.1(Cha)"/>
      <sheetName val="F3.2(Cha)"/>
      <sheetName val="F3.3(Cha)"/>
      <sheetName val="F4(Cha)"/>
      <sheetName val="F5(Cha)"/>
      <sheetName val="F5.1(Cha)"/>
      <sheetName val="F5.2(Cha)"/>
      <sheetName val="F5.3(Cha)"/>
      <sheetName val="F5.4(Cha)"/>
      <sheetName val="F6(Cha)"/>
      <sheetName val="F11(Cha)"/>
      <sheetName val="F12(Cha)"/>
      <sheetName val="Koradi"/>
      <sheetName val="F1(Kor)"/>
      <sheetName val="F2.1(Kor)"/>
      <sheetName val="F2.2(Kor)"/>
      <sheetName val="F2.3(Kor)"/>
      <sheetName val="F2.6(Kor)"/>
      <sheetName val="F3(Kor)"/>
      <sheetName val="F3.1(Kor)"/>
      <sheetName val="F3.2(Kor)"/>
      <sheetName val="F3.3(Kor)"/>
      <sheetName val="F4(Kor)"/>
      <sheetName val="F5(Kor)"/>
      <sheetName val="F5.1(Kor)"/>
      <sheetName val="F5.2(Kor)"/>
      <sheetName val="F5.3(Kor)"/>
      <sheetName val="F5.4(Kor)"/>
      <sheetName val="F6(Kor)"/>
      <sheetName val="F11(Kor)"/>
      <sheetName val="F12(Kor)"/>
      <sheetName val="Paras"/>
      <sheetName val="F1(Paras)"/>
      <sheetName val="F2.1(Paras)"/>
      <sheetName val="F2.2(Paras)"/>
      <sheetName val="F2.3(Paras)"/>
      <sheetName val="F2.6(Paras)"/>
      <sheetName val="F3(Paras)"/>
      <sheetName val="F3.1(Paras)"/>
      <sheetName val="F3.2(Paras)"/>
      <sheetName val="F3.3(Paras)"/>
      <sheetName val="F4(Paras)"/>
      <sheetName val="F5(Paras)"/>
      <sheetName val="F5.1(Paras)"/>
      <sheetName val="F5.2(Paras)"/>
      <sheetName val="F5.3(Paras)"/>
      <sheetName val="F5.4(Paras)"/>
      <sheetName val="F6(Paras)"/>
      <sheetName val="F11(Paras)"/>
      <sheetName val="F12(Paras)"/>
      <sheetName val="Parli"/>
      <sheetName val="F1(Parli)"/>
      <sheetName val="F2.1(Parli)"/>
      <sheetName val="F2.2(Parli)"/>
      <sheetName val="F2.3(Parli)"/>
      <sheetName val="F2.6(Parli)"/>
      <sheetName val="F3(Parli)"/>
      <sheetName val="F3.1(Parli)"/>
      <sheetName val="F3.2(Parli)"/>
      <sheetName val="F3.3(Parli)"/>
      <sheetName val="F4(Parli)"/>
      <sheetName val="F5(Parli)"/>
      <sheetName val="F5.1(Parli)"/>
      <sheetName val="F5.2(Parli)"/>
      <sheetName val="F5.3(Parli)"/>
      <sheetName val="F5.4(Parli)"/>
      <sheetName val="F6(Parli)"/>
      <sheetName val="F11(Parli)"/>
      <sheetName val="F12(Parli)"/>
      <sheetName val="Khaperkheda"/>
      <sheetName val="F1(Kha)"/>
      <sheetName val="F2.1(Kha)"/>
      <sheetName val="F2.2(Kha)"/>
      <sheetName val="F2.3(Kha)"/>
      <sheetName val="F2.6(Kha)"/>
      <sheetName val="F3(Kha)"/>
      <sheetName val="F3.1(Kha)"/>
      <sheetName val="F3.2(Kha)"/>
      <sheetName val="F3.3(Kha)"/>
      <sheetName val="F4(Kha)"/>
      <sheetName val="F5(Kha)"/>
      <sheetName val="F5.1(Kha)"/>
      <sheetName val="F5.2(Kha)"/>
      <sheetName val="F5.3(Kha)"/>
      <sheetName val="F5.4(Kha)"/>
      <sheetName val="F6(Kha)"/>
      <sheetName val="F11(Kha)"/>
      <sheetName val="F12(Kha)"/>
      <sheetName val="Nasik"/>
      <sheetName val="F1(Nasi)"/>
      <sheetName val="F2.1(Nasi)"/>
      <sheetName val="F2.2(Nasi)"/>
      <sheetName val="F2.3(Nasi)"/>
      <sheetName val="F2.6(Nasi)"/>
      <sheetName val="F3(Nasi)"/>
      <sheetName val="F3.1(Nasi)"/>
      <sheetName val="F3.2(Nasi)"/>
      <sheetName val="F3.3(Nasi)"/>
      <sheetName val="F4(Nasi)"/>
      <sheetName val="F5(Nasi)"/>
      <sheetName val="F5.1(Nasi)"/>
      <sheetName val="F5.2(Nasi)"/>
      <sheetName val="F5.3(Nasi)"/>
      <sheetName val="F5.4(Nasi)"/>
      <sheetName val="F6(Nasi)"/>
      <sheetName val="F11(Nasi)"/>
      <sheetName val="F12(Nasi)"/>
      <sheetName val="Uran"/>
      <sheetName val="F1(Uran)"/>
      <sheetName val="F2.1(Uran)"/>
      <sheetName val="F2.2(Uran)"/>
      <sheetName val="F2.3(Uran)"/>
      <sheetName val="F2.6(Uran)"/>
      <sheetName val="F3(Uran)"/>
      <sheetName val="F3.1(Uran)"/>
      <sheetName val="F3.2(Uran)"/>
      <sheetName val="F3.3(Uran)"/>
      <sheetName val="F4(Uran)"/>
      <sheetName val="F5(Uran)"/>
      <sheetName val="F5.1(Uran)"/>
      <sheetName val="F5.2(Uran)"/>
      <sheetName val="F5.3(Uran)"/>
      <sheetName val="F5.4(Uran)"/>
      <sheetName val="F6(Uran)"/>
      <sheetName val="F11(Uran)"/>
      <sheetName val="F12(Uran)"/>
      <sheetName val="Hydro"/>
      <sheetName val="F1(Hydro)"/>
      <sheetName val="F2.1(Hydro)"/>
      <sheetName val="F2.3(Hydro)"/>
      <sheetName val="F2.4(Hydro)"/>
      <sheetName val="F2.6(Hydro)"/>
      <sheetName val="F3(Hydro)"/>
      <sheetName val="F3.1(Hydro)"/>
      <sheetName val="F3.2(Hydro)"/>
      <sheetName val="F3.3(Hydro)"/>
      <sheetName val="F4(Hydro)"/>
      <sheetName val="F4(Koyna)"/>
      <sheetName val="F4(PuneHydro)"/>
      <sheetName val="F4(NasikHydro)"/>
      <sheetName val="F5(Hydro)"/>
      <sheetName val="F5.1(Hydro)"/>
      <sheetName val="F5.2(Hydro)"/>
      <sheetName val="F5.3(PuneHydro)"/>
      <sheetName val="F5.4(PuneHydro)"/>
      <sheetName val="F5.3(NasikHydro)"/>
      <sheetName val="F5.4(NasikHydro)"/>
      <sheetName val="F5.3(Koyna)"/>
      <sheetName val="F5.4(Koyna)"/>
      <sheetName val="F6(Hydro)"/>
      <sheetName val="F11(Hydro)"/>
      <sheetName val="F12(Hydro)"/>
      <sheetName val="Level_qty"/>
    </sheetNames>
    <sheetDataSet>
      <sheetData sheetId="0">
        <row r="4">
          <cell r="B4">
            <v>7.8600000000000003E-2</v>
          </cell>
        </row>
        <row r="5">
          <cell r="B5">
            <v>7.8600000000000003E-2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sbi.co.in/portal/web/interest-rates/mclr-historical-data"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B1:M43"/>
  <sheetViews>
    <sheetView showGridLines="0" view="pageBreakPreview" topLeftCell="A25" zoomScale="70" zoomScaleSheetLayoutView="70" workbookViewId="0">
      <selection activeCell="C43" sqref="C43"/>
    </sheetView>
  </sheetViews>
  <sheetFormatPr baseColWidth="10" defaultColWidth="9.1640625" defaultRowHeight="15"/>
  <cols>
    <col min="1" max="1" width="6.33203125" style="363" customWidth="1"/>
    <col min="2" max="2" width="7" style="566" customWidth="1"/>
    <col min="3" max="3" width="69.6640625" style="363" customWidth="1"/>
    <col min="4" max="4" width="19.6640625" style="363" customWidth="1"/>
    <col min="5" max="13" width="18.6640625" style="363" customWidth="1"/>
    <col min="14" max="16384" width="9.1640625" style="363"/>
  </cols>
  <sheetData>
    <row r="1" spans="2:13" ht="17.25" customHeight="1"/>
    <row r="2" spans="2:13" ht="16">
      <c r="B2" s="970" t="s">
        <v>708</v>
      </c>
      <c r="C2" s="970"/>
      <c r="D2" s="970"/>
      <c r="E2" s="567"/>
      <c r="F2" s="567"/>
      <c r="G2" s="567"/>
      <c r="H2" s="567"/>
      <c r="I2" s="567"/>
      <c r="J2" s="567"/>
      <c r="K2" s="567"/>
      <c r="L2" s="567"/>
      <c r="M2" s="567"/>
    </row>
    <row r="3" spans="2:13" s="5" customFormat="1" ht="15" customHeight="1">
      <c r="B3" s="971" t="s">
        <v>186</v>
      </c>
      <c r="C3" s="971"/>
      <c r="D3" s="971"/>
      <c r="E3" s="567"/>
      <c r="F3" s="567"/>
      <c r="G3" s="567"/>
      <c r="H3" s="567"/>
      <c r="I3" s="567"/>
      <c r="J3" s="567"/>
      <c r="K3" s="567"/>
      <c r="L3" s="567"/>
      <c r="M3" s="567"/>
    </row>
    <row r="4" spans="2:13" ht="16">
      <c r="B4" s="568"/>
      <c r="C4" s="569"/>
      <c r="D4" s="569"/>
      <c r="E4" s="569"/>
      <c r="F4" s="569"/>
      <c r="G4" s="569"/>
      <c r="H4" s="569"/>
      <c r="I4" s="569"/>
      <c r="J4" s="569"/>
      <c r="K4" s="569"/>
      <c r="L4" s="569"/>
      <c r="M4" s="569"/>
    </row>
    <row r="5" spans="2:13" ht="16">
      <c r="B5" s="568"/>
      <c r="C5" s="569"/>
      <c r="D5" s="569"/>
      <c r="E5" s="569"/>
      <c r="F5" s="569"/>
      <c r="G5" s="569"/>
      <c r="H5" s="569"/>
      <c r="I5" s="569"/>
      <c r="J5" s="569"/>
      <c r="K5" s="569"/>
      <c r="L5" s="570"/>
      <c r="M5" s="569"/>
    </row>
    <row r="6" spans="2:13" ht="12.75" customHeight="1">
      <c r="B6" s="972" t="s">
        <v>226</v>
      </c>
      <c r="C6" s="974" t="s">
        <v>77</v>
      </c>
      <c r="D6" s="974" t="s">
        <v>18</v>
      </c>
    </row>
    <row r="7" spans="2:13" ht="15" customHeight="1">
      <c r="B7" s="972"/>
      <c r="C7" s="974"/>
      <c r="D7" s="974"/>
    </row>
    <row r="8" spans="2:13">
      <c r="B8" s="973"/>
      <c r="C8" s="975"/>
      <c r="D8" s="975"/>
    </row>
    <row r="9" spans="2:13" ht="18" customHeight="1">
      <c r="B9" s="571">
        <v>1</v>
      </c>
      <c r="C9" s="572" t="s">
        <v>69</v>
      </c>
      <c r="D9" s="573" t="s">
        <v>70</v>
      </c>
    </row>
    <row r="10" spans="2:13" ht="18" customHeight="1">
      <c r="B10" s="571">
        <f>B9+1</f>
        <v>2</v>
      </c>
      <c r="C10" s="572" t="s">
        <v>160</v>
      </c>
      <c r="D10" s="573" t="s">
        <v>63</v>
      </c>
    </row>
    <row r="11" spans="2:13" ht="18" customHeight="1">
      <c r="B11" s="571">
        <f t="shared" ref="B11:B29" si="0">B10+1</f>
        <v>3</v>
      </c>
      <c r="C11" s="572" t="s">
        <v>645</v>
      </c>
      <c r="D11" s="573" t="s">
        <v>93</v>
      </c>
    </row>
    <row r="12" spans="2:13" ht="18" customHeight="1">
      <c r="B12" s="571">
        <f t="shared" si="0"/>
        <v>4</v>
      </c>
      <c r="C12" s="572" t="s">
        <v>210</v>
      </c>
      <c r="D12" s="573" t="s">
        <v>209</v>
      </c>
    </row>
    <row r="13" spans="2:13" ht="18" customHeight="1">
      <c r="B13" s="571">
        <f t="shared" si="0"/>
        <v>5</v>
      </c>
      <c r="C13" s="572" t="s">
        <v>261</v>
      </c>
      <c r="D13" s="573" t="s">
        <v>96</v>
      </c>
    </row>
    <row r="14" spans="2:13" ht="18" customHeight="1">
      <c r="B14" s="571">
        <f t="shared" si="0"/>
        <v>6</v>
      </c>
      <c r="C14" s="572" t="s">
        <v>646</v>
      </c>
      <c r="D14" s="573" t="s">
        <v>98</v>
      </c>
    </row>
    <row r="15" spans="2:13" ht="18" customHeight="1">
      <c r="B15" s="571">
        <f t="shared" si="0"/>
        <v>7</v>
      </c>
      <c r="C15" s="572" t="s">
        <v>647</v>
      </c>
      <c r="D15" s="573" t="s">
        <v>159</v>
      </c>
    </row>
    <row r="16" spans="2:13" ht="18" customHeight="1">
      <c r="B16" s="571">
        <f t="shared" si="0"/>
        <v>8</v>
      </c>
      <c r="C16" s="574" t="s">
        <v>520</v>
      </c>
      <c r="D16" s="573" t="s">
        <v>87</v>
      </c>
    </row>
    <row r="17" spans="2:4" ht="18" customHeight="1">
      <c r="B17" s="571">
        <f t="shared" si="0"/>
        <v>9</v>
      </c>
      <c r="C17" s="572" t="s">
        <v>73</v>
      </c>
      <c r="D17" s="573" t="s">
        <v>257</v>
      </c>
    </row>
    <row r="18" spans="2:4" ht="18" customHeight="1">
      <c r="B18" s="571">
        <f t="shared" si="0"/>
        <v>10</v>
      </c>
      <c r="C18" s="572" t="s">
        <v>166</v>
      </c>
      <c r="D18" s="573" t="s">
        <v>258</v>
      </c>
    </row>
    <row r="19" spans="2:4" ht="18" customHeight="1">
      <c r="B19" s="571">
        <f t="shared" si="0"/>
        <v>11</v>
      </c>
      <c r="C19" s="572" t="s">
        <v>211</v>
      </c>
      <c r="D19" s="573" t="s">
        <v>519</v>
      </c>
    </row>
    <row r="20" spans="2:4" ht="18" customHeight="1">
      <c r="B20" s="571">
        <f t="shared" si="0"/>
        <v>12</v>
      </c>
      <c r="C20" s="572" t="s">
        <v>71</v>
      </c>
      <c r="D20" s="573" t="s">
        <v>25</v>
      </c>
    </row>
    <row r="21" spans="2:4" ht="18" customHeight="1">
      <c r="B21" s="571">
        <f t="shared" si="0"/>
        <v>13</v>
      </c>
      <c r="C21" s="575" t="s">
        <v>227</v>
      </c>
      <c r="D21" s="573" t="s">
        <v>64</v>
      </c>
    </row>
    <row r="22" spans="2:4" ht="18" customHeight="1">
      <c r="B22" s="571">
        <f t="shared" si="0"/>
        <v>14</v>
      </c>
      <c r="C22" s="575" t="s">
        <v>308</v>
      </c>
      <c r="D22" s="573" t="s">
        <v>65</v>
      </c>
    </row>
    <row r="23" spans="2:4" ht="18" customHeight="1">
      <c r="B23" s="571">
        <f t="shared" si="0"/>
        <v>15</v>
      </c>
      <c r="C23" s="572" t="s">
        <v>74</v>
      </c>
      <c r="D23" s="573" t="s">
        <v>68</v>
      </c>
    </row>
    <row r="24" spans="2:4" ht="18" customHeight="1">
      <c r="B24" s="571">
        <f t="shared" si="0"/>
        <v>16</v>
      </c>
      <c r="C24" s="572" t="s">
        <v>76</v>
      </c>
      <c r="D24" s="573" t="s">
        <v>75</v>
      </c>
    </row>
    <row r="25" spans="2:4" ht="16">
      <c r="B25" s="571">
        <v>17</v>
      </c>
      <c r="C25" s="572" t="s">
        <v>0</v>
      </c>
      <c r="D25" s="573" t="s">
        <v>67</v>
      </c>
    </row>
    <row r="26" spans="2:4" ht="16">
      <c r="B26" s="571">
        <f t="shared" si="0"/>
        <v>18</v>
      </c>
      <c r="C26" s="572" t="s">
        <v>322</v>
      </c>
      <c r="D26" s="573" t="s">
        <v>212</v>
      </c>
    </row>
    <row r="27" spans="2:4" ht="16">
      <c r="B27" s="571">
        <f t="shared" si="0"/>
        <v>19</v>
      </c>
      <c r="C27" s="572" t="s">
        <v>495</v>
      </c>
      <c r="D27" s="573" t="s">
        <v>259</v>
      </c>
    </row>
    <row r="28" spans="2:4" ht="16">
      <c r="B28" s="571">
        <f t="shared" si="0"/>
        <v>20</v>
      </c>
      <c r="C28" s="572" t="s">
        <v>486</v>
      </c>
      <c r="D28" s="573" t="s">
        <v>307</v>
      </c>
    </row>
    <row r="29" spans="2:4" ht="16">
      <c r="B29" s="571">
        <f t="shared" si="0"/>
        <v>21</v>
      </c>
      <c r="C29" s="572" t="s">
        <v>309</v>
      </c>
      <c r="D29" s="573" t="s">
        <v>321</v>
      </c>
    </row>
    <row r="30" spans="2:4" ht="16">
      <c r="B30" s="576"/>
      <c r="C30" s="577" t="s">
        <v>532</v>
      </c>
      <c r="D30" s="578"/>
    </row>
    <row r="31" spans="2:4" ht="16">
      <c r="B31" s="579">
        <f>B29+1</f>
        <v>22</v>
      </c>
      <c r="C31" s="574" t="s">
        <v>477</v>
      </c>
      <c r="D31" s="580" t="s">
        <v>687</v>
      </c>
    </row>
    <row r="32" spans="2:4" ht="16">
      <c r="B32" s="579">
        <f t="shared" ref="B32:B39" si="1">B31+1</f>
        <v>23</v>
      </c>
      <c r="C32" s="574" t="s">
        <v>478</v>
      </c>
      <c r="D32" s="580" t="s">
        <v>689</v>
      </c>
    </row>
    <row r="33" spans="2:4" ht="16">
      <c r="B33" s="579">
        <f t="shared" si="1"/>
        <v>24</v>
      </c>
      <c r="C33" s="574" t="s">
        <v>479</v>
      </c>
      <c r="D33" s="580" t="s">
        <v>692</v>
      </c>
    </row>
    <row r="34" spans="2:4" ht="16">
      <c r="B34" s="579">
        <f t="shared" si="1"/>
        <v>25</v>
      </c>
      <c r="C34" s="574" t="s">
        <v>485</v>
      </c>
      <c r="D34" s="580" t="s">
        <v>693</v>
      </c>
    </row>
    <row r="35" spans="2:4" ht="16">
      <c r="B35" s="579">
        <f t="shared" si="1"/>
        <v>26</v>
      </c>
      <c r="C35" s="574" t="s">
        <v>480</v>
      </c>
      <c r="D35" s="580" t="s">
        <v>696</v>
      </c>
    </row>
    <row r="36" spans="2:4" ht="16">
      <c r="B36" s="579">
        <f t="shared" si="1"/>
        <v>27</v>
      </c>
      <c r="C36" s="574" t="s">
        <v>481</v>
      </c>
      <c r="D36" s="580" t="s">
        <v>697</v>
      </c>
    </row>
    <row r="37" spans="2:4" ht="16">
      <c r="B37" s="579">
        <f t="shared" si="1"/>
        <v>28</v>
      </c>
      <c r="C37" s="574" t="s">
        <v>482</v>
      </c>
      <c r="D37" s="580" t="s">
        <v>700</v>
      </c>
    </row>
    <row r="38" spans="2:4" ht="16">
      <c r="B38" s="579">
        <f t="shared" si="1"/>
        <v>29</v>
      </c>
      <c r="C38" s="574" t="s">
        <v>483</v>
      </c>
      <c r="D38" s="580" t="s">
        <v>701</v>
      </c>
    </row>
    <row r="39" spans="2:4" ht="16">
      <c r="B39" s="579">
        <f t="shared" si="1"/>
        <v>30</v>
      </c>
      <c r="C39" s="574" t="s">
        <v>484</v>
      </c>
      <c r="D39" s="580" t="s">
        <v>704</v>
      </c>
    </row>
    <row r="40" spans="2:4" ht="16">
      <c r="B40" s="581"/>
      <c r="C40" s="582"/>
      <c r="D40" s="583"/>
    </row>
    <row r="41" spans="2:4" ht="16">
      <c r="B41" s="584">
        <v>32</v>
      </c>
      <c r="C41" s="572" t="s">
        <v>614</v>
      </c>
      <c r="D41" s="573" t="s">
        <v>706</v>
      </c>
    </row>
    <row r="43" spans="2:4">
      <c r="B43" s="585" t="s">
        <v>744</v>
      </c>
      <c r="C43" s="586"/>
      <c r="D43" s="586"/>
    </row>
  </sheetData>
  <mergeCells count="5">
    <mergeCell ref="B2:D2"/>
    <mergeCell ref="B3:D3"/>
    <mergeCell ref="B6:B8"/>
    <mergeCell ref="C6:C8"/>
    <mergeCell ref="D6:D8"/>
  </mergeCells>
  <phoneticPr fontId="0" type="noConversion"/>
  <pageMargins left="0.43307086614173229" right="0.43307086614173229" top="0.43307086614173229" bottom="0.43307086614173229" header="0.31496062992125984" footer="0.31496062992125984"/>
  <pageSetup paperSize="9" scale="86" orientation="portrait" r:id="rId1"/>
  <headerFoot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A103"/>
  <sheetViews>
    <sheetView showGridLines="0" view="pageBreakPreview" topLeftCell="A88" zoomScale="60" zoomScaleNormal="70" workbookViewId="0">
      <selection activeCell="C60" sqref="C60:K99"/>
    </sheetView>
  </sheetViews>
  <sheetFormatPr baseColWidth="10" defaultColWidth="9.1640625" defaultRowHeight="15"/>
  <cols>
    <col min="1" max="1" width="4.5" style="26" customWidth="1"/>
    <col min="2" max="2" width="51.83203125" style="26" customWidth="1"/>
    <col min="3" max="19" width="12.33203125" style="26" customWidth="1"/>
    <col min="20" max="20" width="14" style="26" customWidth="1"/>
    <col min="21" max="23" width="12.6640625" style="26" customWidth="1"/>
    <col min="24" max="24" width="15.33203125" style="26" customWidth="1"/>
    <col min="25" max="25" width="12.5" style="26" customWidth="1"/>
    <col min="26" max="27" width="13.5" style="26" customWidth="1"/>
    <col min="28" max="16384" width="9.1640625" style="26"/>
  </cols>
  <sheetData>
    <row r="1" spans="2:27" ht="15.75" customHeight="1"/>
    <row r="2" spans="2:27" ht="15" customHeight="1">
      <c r="B2" s="1062" t="str">
        <f>Index!B2</f>
        <v>Jaigad Power Transco Ltd</v>
      </c>
      <c r="C2" s="1062"/>
      <c r="D2" s="1062"/>
      <c r="E2" s="1062"/>
      <c r="F2" s="1062"/>
      <c r="G2" s="1062"/>
      <c r="H2" s="1062"/>
      <c r="I2" s="1062"/>
      <c r="J2" s="1062"/>
      <c r="K2" s="1062"/>
      <c r="L2" s="1062"/>
      <c r="M2" s="1062"/>
      <c r="N2" s="1062"/>
      <c r="O2" s="1062"/>
      <c r="P2" s="1062"/>
      <c r="Q2" s="1062"/>
      <c r="R2" s="1062"/>
      <c r="S2" s="1062"/>
    </row>
    <row r="3" spans="2:27" ht="15" customHeight="1">
      <c r="B3" s="1059" t="s">
        <v>186</v>
      </c>
      <c r="C3" s="1059"/>
      <c r="D3" s="1059"/>
      <c r="E3" s="1059"/>
      <c r="F3" s="1059"/>
      <c r="G3" s="1059"/>
      <c r="H3" s="1059"/>
      <c r="I3" s="1059"/>
      <c r="J3" s="1059"/>
      <c r="K3" s="1059"/>
      <c r="L3" s="1059"/>
      <c r="M3" s="1059"/>
      <c r="N3" s="1059"/>
      <c r="O3" s="1059"/>
      <c r="P3" s="1059"/>
      <c r="Q3" s="1059"/>
      <c r="R3" s="1059"/>
      <c r="S3" s="1059"/>
      <c r="T3" s="409"/>
      <c r="U3" s="409"/>
      <c r="V3" s="409"/>
    </row>
    <row r="4" spans="2:27" ht="15" customHeight="1">
      <c r="B4" s="1110" t="s">
        <v>516</v>
      </c>
      <c r="C4" s="1110"/>
      <c r="D4" s="1110"/>
      <c r="E4" s="1110"/>
      <c r="F4" s="1110"/>
      <c r="G4" s="1110"/>
      <c r="H4" s="1110"/>
      <c r="I4" s="1110"/>
      <c r="J4" s="1110"/>
      <c r="K4" s="1110"/>
      <c r="L4" s="1110"/>
      <c r="M4" s="1110"/>
      <c r="N4" s="1110"/>
      <c r="O4" s="1110"/>
      <c r="P4" s="1110"/>
      <c r="Q4" s="1110"/>
      <c r="R4" s="1110"/>
      <c r="S4" s="1110"/>
      <c r="T4" s="409"/>
      <c r="U4" s="409"/>
      <c r="V4" s="409"/>
    </row>
    <row r="5" spans="2:27">
      <c r="B5" s="410"/>
      <c r="C5" s="411"/>
      <c r="D5" s="411"/>
      <c r="E5" s="411"/>
      <c r="F5" s="409"/>
      <c r="G5" s="409"/>
      <c r="H5" s="409"/>
      <c r="I5" s="409"/>
      <c r="J5" s="409"/>
      <c r="K5" s="409"/>
      <c r="L5" s="409"/>
      <c r="M5" s="409"/>
      <c r="N5" s="409"/>
      <c r="O5" s="409"/>
      <c r="P5" s="409"/>
      <c r="Q5" s="409"/>
      <c r="R5" s="409"/>
      <c r="S5" s="409"/>
      <c r="T5" s="409"/>
      <c r="U5" s="409"/>
      <c r="V5" s="409"/>
      <c r="W5" s="409"/>
      <c r="X5" s="409"/>
      <c r="Y5" s="409"/>
      <c r="Z5" s="409"/>
      <c r="AA5" s="409"/>
    </row>
    <row r="6" spans="2:27" ht="15.75" customHeight="1">
      <c r="B6" s="411" t="s">
        <v>8</v>
      </c>
      <c r="F6" s="409"/>
      <c r="G6" s="409"/>
      <c r="H6" s="409"/>
      <c r="I6" s="409"/>
      <c r="J6" s="409"/>
      <c r="K6" s="409"/>
      <c r="L6" s="409"/>
      <c r="M6" s="409"/>
      <c r="N6" s="409"/>
      <c r="O6" s="409"/>
      <c r="P6" s="409"/>
      <c r="Q6" s="409"/>
      <c r="R6" s="409"/>
      <c r="S6" s="409"/>
      <c r="T6" s="409"/>
      <c r="U6" s="409"/>
      <c r="V6" s="409"/>
      <c r="W6" s="409"/>
      <c r="X6" s="409"/>
      <c r="Y6" s="409"/>
      <c r="Z6" s="409"/>
      <c r="AA6" s="409"/>
    </row>
    <row r="7" spans="2:27">
      <c r="B7" s="410"/>
      <c r="C7" s="410"/>
      <c r="D7" s="410"/>
      <c r="E7" s="410"/>
      <c r="F7" s="409"/>
      <c r="G7" s="409"/>
      <c r="H7" s="409"/>
      <c r="I7" s="409"/>
      <c r="J7" s="409"/>
      <c r="K7" s="409"/>
      <c r="L7" s="409"/>
      <c r="M7" s="409"/>
      <c r="R7" s="412" t="s">
        <v>33</v>
      </c>
      <c r="S7" s="412"/>
      <c r="T7" s="412"/>
      <c r="U7" s="412"/>
      <c r="V7" s="412"/>
      <c r="W7" s="412"/>
      <c r="X7" s="409"/>
      <c r="Y7" s="409"/>
      <c r="Z7" s="409"/>
    </row>
    <row r="8" spans="2:27" s="391" customFormat="1" ht="14" customHeight="1">
      <c r="B8" s="1083" t="s">
        <v>79</v>
      </c>
      <c r="C8" s="1083" t="s">
        <v>9</v>
      </c>
      <c r="D8" s="1083" t="s">
        <v>522</v>
      </c>
      <c r="E8" s="1083" t="s">
        <v>523</v>
      </c>
      <c r="F8" s="1083" t="s">
        <v>14</v>
      </c>
      <c r="G8" s="1085" t="s">
        <v>10</v>
      </c>
      <c r="H8" s="1086"/>
      <c r="I8" s="1087"/>
      <c r="J8" s="1085" t="s">
        <v>27</v>
      </c>
      <c r="K8" s="1086"/>
      <c r="L8" s="1087"/>
      <c r="M8" s="1080" t="s">
        <v>526</v>
      </c>
      <c r="N8" s="1080"/>
      <c r="O8" s="1080"/>
      <c r="P8" s="1080"/>
      <c r="Q8" s="1080"/>
      <c r="R8" s="1080"/>
      <c r="S8" s="1080"/>
    </row>
    <row r="9" spans="2:27" s="391" customFormat="1">
      <c r="B9" s="1091"/>
      <c r="C9" s="1091"/>
      <c r="D9" s="1091"/>
      <c r="E9" s="1091"/>
      <c r="F9" s="1091"/>
      <c r="G9" s="1081" t="s">
        <v>42</v>
      </c>
      <c r="H9" s="1081" t="s">
        <v>28</v>
      </c>
      <c r="I9" s="1081" t="s">
        <v>66</v>
      </c>
      <c r="J9" s="1081" t="s">
        <v>42</v>
      </c>
      <c r="K9" s="1081" t="s">
        <v>28</v>
      </c>
      <c r="L9" s="1081" t="s">
        <v>26</v>
      </c>
      <c r="M9" s="1081" t="s">
        <v>161</v>
      </c>
      <c r="N9" s="1083" t="s">
        <v>524</v>
      </c>
      <c r="O9" s="1077" t="s">
        <v>671</v>
      </c>
      <c r="P9" s="1078"/>
      <c r="Q9" s="1078"/>
      <c r="R9" s="1078"/>
      <c r="S9" s="1079"/>
    </row>
    <row r="10" spans="2:27" s="391" customFormat="1" ht="42" customHeight="1">
      <c r="B10" s="1084"/>
      <c r="C10" s="1084"/>
      <c r="D10" s="1084"/>
      <c r="E10" s="1084"/>
      <c r="F10" s="1084"/>
      <c r="G10" s="1082"/>
      <c r="H10" s="1082"/>
      <c r="I10" s="1082"/>
      <c r="J10" s="1082"/>
      <c r="K10" s="1082"/>
      <c r="L10" s="1082"/>
      <c r="M10" s="1082"/>
      <c r="N10" s="1084"/>
      <c r="O10" s="304" t="s">
        <v>672</v>
      </c>
      <c r="P10" s="304" t="s">
        <v>673</v>
      </c>
      <c r="Q10" s="304" t="s">
        <v>674</v>
      </c>
      <c r="R10" s="304" t="s">
        <v>675</v>
      </c>
      <c r="S10" s="304" t="s">
        <v>676</v>
      </c>
    </row>
    <row r="11" spans="2:27" s="415" customFormat="1">
      <c r="B11" s="413" t="s">
        <v>213</v>
      </c>
      <c r="C11" s="1092" t="s">
        <v>950</v>
      </c>
      <c r="D11" s="1093"/>
      <c r="E11" s="1093"/>
      <c r="F11" s="1093"/>
      <c r="G11" s="1093"/>
      <c r="H11" s="1093"/>
      <c r="I11" s="1093"/>
      <c r="J11" s="1093"/>
      <c r="K11" s="1093"/>
      <c r="L11" s="1093"/>
      <c r="M11" s="1093"/>
      <c r="N11" s="1093"/>
      <c r="O11" s="1093"/>
      <c r="P11" s="1093"/>
      <c r="Q11" s="1093"/>
      <c r="R11" s="1093"/>
      <c r="S11" s="1094"/>
    </row>
    <row r="12" spans="2:27" s="415" customFormat="1">
      <c r="B12" s="416" t="s">
        <v>162</v>
      </c>
      <c r="C12" s="1095"/>
      <c r="D12" s="1096"/>
      <c r="E12" s="1096"/>
      <c r="F12" s="1096"/>
      <c r="G12" s="1096"/>
      <c r="H12" s="1096"/>
      <c r="I12" s="1096"/>
      <c r="J12" s="1096"/>
      <c r="K12" s="1096"/>
      <c r="L12" s="1096"/>
      <c r="M12" s="1096"/>
      <c r="N12" s="1096"/>
      <c r="O12" s="1096"/>
      <c r="P12" s="1096"/>
      <c r="Q12" s="1096"/>
      <c r="R12" s="1096"/>
      <c r="S12" s="1097"/>
    </row>
    <row r="13" spans="2:27" s="415" customFormat="1">
      <c r="B13" s="417" t="s">
        <v>163</v>
      </c>
      <c r="C13" s="1095"/>
      <c r="D13" s="1096"/>
      <c r="E13" s="1096"/>
      <c r="F13" s="1096"/>
      <c r="G13" s="1096"/>
      <c r="H13" s="1096"/>
      <c r="I13" s="1096"/>
      <c r="J13" s="1096"/>
      <c r="K13" s="1096"/>
      <c r="L13" s="1096"/>
      <c r="M13" s="1096"/>
      <c r="N13" s="1096"/>
      <c r="O13" s="1096"/>
      <c r="P13" s="1096"/>
      <c r="Q13" s="1096"/>
      <c r="R13" s="1096"/>
      <c r="S13" s="1097"/>
    </row>
    <row r="14" spans="2:27" s="415" customFormat="1">
      <c r="B14" s="417" t="s">
        <v>164</v>
      </c>
      <c r="C14" s="1095"/>
      <c r="D14" s="1096"/>
      <c r="E14" s="1096"/>
      <c r="F14" s="1096"/>
      <c r="G14" s="1096"/>
      <c r="H14" s="1096"/>
      <c r="I14" s="1096"/>
      <c r="J14" s="1096"/>
      <c r="K14" s="1096"/>
      <c r="L14" s="1096"/>
      <c r="M14" s="1096"/>
      <c r="N14" s="1096"/>
      <c r="O14" s="1096"/>
      <c r="P14" s="1096"/>
      <c r="Q14" s="1096"/>
      <c r="R14" s="1096"/>
      <c r="S14" s="1097"/>
    </row>
    <row r="15" spans="2:27" s="415" customFormat="1">
      <c r="B15" s="413" t="s">
        <v>165</v>
      </c>
      <c r="C15" s="1095"/>
      <c r="D15" s="1096"/>
      <c r="E15" s="1096"/>
      <c r="F15" s="1096"/>
      <c r="G15" s="1096"/>
      <c r="H15" s="1096"/>
      <c r="I15" s="1096"/>
      <c r="J15" s="1096"/>
      <c r="K15" s="1096"/>
      <c r="L15" s="1096"/>
      <c r="M15" s="1096"/>
      <c r="N15" s="1096"/>
      <c r="O15" s="1096"/>
      <c r="P15" s="1096"/>
      <c r="Q15" s="1096"/>
      <c r="R15" s="1096"/>
      <c r="S15" s="1097"/>
    </row>
    <row r="16" spans="2:27" s="415" customFormat="1">
      <c r="B16" s="414"/>
      <c r="C16" s="1095"/>
      <c r="D16" s="1096"/>
      <c r="E16" s="1096"/>
      <c r="F16" s="1096"/>
      <c r="G16" s="1096"/>
      <c r="H16" s="1096"/>
      <c r="I16" s="1096"/>
      <c r="J16" s="1096"/>
      <c r="K16" s="1096"/>
      <c r="L16" s="1096"/>
      <c r="M16" s="1096"/>
      <c r="N16" s="1096"/>
      <c r="O16" s="1096"/>
      <c r="P16" s="1096"/>
      <c r="Q16" s="1096"/>
      <c r="R16" s="1096"/>
      <c r="S16" s="1097"/>
    </row>
    <row r="17" spans="2:19" s="415" customFormat="1">
      <c r="B17" s="413" t="s">
        <v>214</v>
      </c>
      <c r="C17" s="1095"/>
      <c r="D17" s="1096"/>
      <c r="E17" s="1096"/>
      <c r="F17" s="1096"/>
      <c r="G17" s="1096"/>
      <c r="H17" s="1096"/>
      <c r="I17" s="1096"/>
      <c r="J17" s="1096"/>
      <c r="K17" s="1096"/>
      <c r="L17" s="1096"/>
      <c r="M17" s="1096"/>
      <c r="N17" s="1096"/>
      <c r="O17" s="1096"/>
      <c r="P17" s="1096"/>
      <c r="Q17" s="1096"/>
      <c r="R17" s="1096"/>
      <c r="S17" s="1097"/>
    </row>
    <row r="18" spans="2:19" s="415" customFormat="1">
      <c r="B18" s="416" t="s">
        <v>162</v>
      </c>
      <c r="C18" s="1095"/>
      <c r="D18" s="1096"/>
      <c r="E18" s="1096"/>
      <c r="F18" s="1096"/>
      <c r="G18" s="1096"/>
      <c r="H18" s="1096"/>
      <c r="I18" s="1096"/>
      <c r="J18" s="1096"/>
      <c r="K18" s="1096"/>
      <c r="L18" s="1096"/>
      <c r="M18" s="1096"/>
      <c r="N18" s="1096"/>
      <c r="O18" s="1096"/>
      <c r="P18" s="1096"/>
      <c r="Q18" s="1096"/>
      <c r="R18" s="1096"/>
      <c r="S18" s="1097"/>
    </row>
    <row r="19" spans="2:19" s="415" customFormat="1">
      <c r="B19" s="417" t="s">
        <v>163</v>
      </c>
      <c r="C19" s="1095"/>
      <c r="D19" s="1096"/>
      <c r="E19" s="1096"/>
      <c r="F19" s="1096"/>
      <c r="G19" s="1096"/>
      <c r="H19" s="1096"/>
      <c r="I19" s="1096"/>
      <c r="J19" s="1096"/>
      <c r="K19" s="1096"/>
      <c r="L19" s="1096"/>
      <c r="M19" s="1096"/>
      <c r="N19" s="1096"/>
      <c r="O19" s="1096"/>
      <c r="P19" s="1096"/>
      <c r="Q19" s="1096"/>
      <c r="R19" s="1096"/>
      <c r="S19" s="1097"/>
    </row>
    <row r="20" spans="2:19" s="415" customFormat="1">
      <c r="B20" s="417" t="s">
        <v>164</v>
      </c>
      <c r="C20" s="1095"/>
      <c r="D20" s="1096"/>
      <c r="E20" s="1096"/>
      <c r="F20" s="1096"/>
      <c r="G20" s="1096"/>
      <c r="H20" s="1096"/>
      <c r="I20" s="1096"/>
      <c r="J20" s="1096"/>
      <c r="K20" s="1096"/>
      <c r="L20" s="1096"/>
      <c r="M20" s="1096"/>
      <c r="N20" s="1096"/>
      <c r="O20" s="1096"/>
      <c r="P20" s="1096"/>
      <c r="Q20" s="1096"/>
      <c r="R20" s="1096"/>
      <c r="S20" s="1097"/>
    </row>
    <row r="21" spans="2:19" s="415" customFormat="1">
      <c r="B21" s="413" t="s">
        <v>165</v>
      </c>
      <c r="C21" s="1095"/>
      <c r="D21" s="1096"/>
      <c r="E21" s="1096"/>
      <c r="F21" s="1096"/>
      <c r="G21" s="1096"/>
      <c r="H21" s="1096"/>
      <c r="I21" s="1096"/>
      <c r="J21" s="1096"/>
      <c r="K21" s="1096"/>
      <c r="L21" s="1096"/>
      <c r="M21" s="1096"/>
      <c r="N21" s="1096"/>
      <c r="O21" s="1096"/>
      <c r="P21" s="1096"/>
      <c r="Q21" s="1096"/>
      <c r="R21" s="1096"/>
      <c r="S21" s="1097"/>
    </row>
    <row r="22" spans="2:19" s="415" customFormat="1">
      <c r="B22" s="418"/>
      <c r="C22" s="1095"/>
      <c r="D22" s="1096"/>
      <c r="E22" s="1096"/>
      <c r="F22" s="1096"/>
      <c r="G22" s="1096"/>
      <c r="H22" s="1096"/>
      <c r="I22" s="1096"/>
      <c r="J22" s="1096"/>
      <c r="K22" s="1096"/>
      <c r="L22" s="1096"/>
      <c r="M22" s="1096"/>
      <c r="N22" s="1096"/>
      <c r="O22" s="1096"/>
      <c r="P22" s="1096"/>
      <c r="Q22" s="1096"/>
      <c r="R22" s="1096"/>
      <c r="S22" s="1097"/>
    </row>
    <row r="23" spans="2:19" s="415" customFormat="1">
      <c r="B23" s="416" t="s">
        <v>215</v>
      </c>
      <c r="C23" s="1095"/>
      <c r="D23" s="1096"/>
      <c r="E23" s="1096"/>
      <c r="F23" s="1096"/>
      <c r="G23" s="1096"/>
      <c r="H23" s="1096"/>
      <c r="I23" s="1096"/>
      <c r="J23" s="1096"/>
      <c r="K23" s="1096"/>
      <c r="L23" s="1096"/>
      <c r="M23" s="1096"/>
      <c r="N23" s="1096"/>
      <c r="O23" s="1096"/>
      <c r="P23" s="1096"/>
      <c r="Q23" s="1096"/>
      <c r="R23" s="1096"/>
      <c r="S23" s="1097"/>
    </row>
    <row r="24" spans="2:19" s="415" customFormat="1">
      <c r="B24" s="416" t="s">
        <v>162</v>
      </c>
      <c r="C24" s="1095"/>
      <c r="D24" s="1096"/>
      <c r="E24" s="1096"/>
      <c r="F24" s="1096"/>
      <c r="G24" s="1096"/>
      <c r="H24" s="1096"/>
      <c r="I24" s="1096"/>
      <c r="J24" s="1096"/>
      <c r="K24" s="1096"/>
      <c r="L24" s="1096"/>
      <c r="M24" s="1096"/>
      <c r="N24" s="1096"/>
      <c r="O24" s="1096"/>
      <c r="P24" s="1096"/>
      <c r="Q24" s="1096"/>
      <c r="R24" s="1096"/>
      <c r="S24" s="1097"/>
    </row>
    <row r="25" spans="2:19" s="415" customFormat="1">
      <c r="B25" s="417" t="s">
        <v>163</v>
      </c>
      <c r="C25" s="1095"/>
      <c r="D25" s="1096"/>
      <c r="E25" s="1096"/>
      <c r="F25" s="1096"/>
      <c r="G25" s="1096"/>
      <c r="H25" s="1096"/>
      <c r="I25" s="1096"/>
      <c r="J25" s="1096"/>
      <c r="K25" s="1096"/>
      <c r="L25" s="1096"/>
      <c r="M25" s="1096"/>
      <c r="N25" s="1096"/>
      <c r="O25" s="1096"/>
      <c r="P25" s="1096"/>
      <c r="Q25" s="1096"/>
      <c r="R25" s="1096"/>
      <c r="S25" s="1097"/>
    </row>
    <row r="26" spans="2:19" s="415" customFormat="1">
      <c r="B26" s="417" t="s">
        <v>164</v>
      </c>
      <c r="C26" s="1095"/>
      <c r="D26" s="1096"/>
      <c r="E26" s="1096"/>
      <c r="F26" s="1096"/>
      <c r="G26" s="1096"/>
      <c r="H26" s="1096"/>
      <c r="I26" s="1096"/>
      <c r="J26" s="1096"/>
      <c r="K26" s="1096"/>
      <c r="L26" s="1096"/>
      <c r="M26" s="1096"/>
      <c r="N26" s="1096"/>
      <c r="O26" s="1096"/>
      <c r="P26" s="1096"/>
      <c r="Q26" s="1096"/>
      <c r="R26" s="1096"/>
      <c r="S26" s="1097"/>
    </row>
    <row r="27" spans="2:19" s="415" customFormat="1">
      <c r="B27" s="413" t="s">
        <v>165</v>
      </c>
      <c r="C27" s="1095"/>
      <c r="D27" s="1096"/>
      <c r="E27" s="1096"/>
      <c r="F27" s="1096"/>
      <c r="G27" s="1096"/>
      <c r="H27" s="1096"/>
      <c r="I27" s="1096"/>
      <c r="J27" s="1096"/>
      <c r="K27" s="1096"/>
      <c r="L27" s="1096"/>
      <c r="M27" s="1096"/>
      <c r="N27" s="1096"/>
      <c r="O27" s="1096"/>
      <c r="P27" s="1096"/>
      <c r="Q27" s="1096"/>
      <c r="R27" s="1096"/>
      <c r="S27" s="1097"/>
    </row>
    <row r="28" spans="2:19" s="415" customFormat="1">
      <c r="B28" s="418"/>
      <c r="C28" s="1095"/>
      <c r="D28" s="1096"/>
      <c r="E28" s="1096"/>
      <c r="F28" s="1096"/>
      <c r="G28" s="1096"/>
      <c r="H28" s="1096"/>
      <c r="I28" s="1096"/>
      <c r="J28" s="1096"/>
      <c r="K28" s="1096"/>
      <c r="L28" s="1096"/>
      <c r="M28" s="1096"/>
      <c r="N28" s="1096"/>
      <c r="O28" s="1096"/>
      <c r="P28" s="1096"/>
      <c r="Q28" s="1096"/>
      <c r="R28" s="1096"/>
      <c r="S28" s="1097"/>
    </row>
    <row r="29" spans="2:19" s="415" customFormat="1">
      <c r="B29" s="416" t="s">
        <v>540</v>
      </c>
      <c r="C29" s="1095"/>
      <c r="D29" s="1096"/>
      <c r="E29" s="1096"/>
      <c r="F29" s="1096"/>
      <c r="G29" s="1096"/>
      <c r="H29" s="1096"/>
      <c r="I29" s="1096"/>
      <c r="J29" s="1096"/>
      <c r="K29" s="1096"/>
      <c r="L29" s="1096"/>
      <c r="M29" s="1096"/>
      <c r="N29" s="1096"/>
      <c r="O29" s="1096"/>
      <c r="P29" s="1096"/>
      <c r="Q29" s="1096"/>
      <c r="R29" s="1096"/>
      <c r="S29" s="1097"/>
    </row>
    <row r="30" spans="2:19" s="415" customFormat="1">
      <c r="B30" s="416" t="s">
        <v>162</v>
      </c>
      <c r="C30" s="1095"/>
      <c r="D30" s="1096"/>
      <c r="E30" s="1096"/>
      <c r="F30" s="1096"/>
      <c r="G30" s="1096"/>
      <c r="H30" s="1096"/>
      <c r="I30" s="1096"/>
      <c r="J30" s="1096"/>
      <c r="K30" s="1096"/>
      <c r="L30" s="1096"/>
      <c r="M30" s="1096"/>
      <c r="N30" s="1096"/>
      <c r="O30" s="1096"/>
      <c r="P30" s="1096"/>
      <c r="Q30" s="1096"/>
      <c r="R30" s="1096"/>
      <c r="S30" s="1097"/>
    </row>
    <row r="31" spans="2:19" s="415" customFormat="1">
      <c r="B31" s="417" t="s">
        <v>163</v>
      </c>
      <c r="C31" s="1095"/>
      <c r="D31" s="1096"/>
      <c r="E31" s="1096"/>
      <c r="F31" s="1096"/>
      <c r="G31" s="1096"/>
      <c r="H31" s="1096"/>
      <c r="I31" s="1096"/>
      <c r="J31" s="1096"/>
      <c r="K31" s="1096"/>
      <c r="L31" s="1096"/>
      <c r="M31" s="1096"/>
      <c r="N31" s="1096"/>
      <c r="O31" s="1096"/>
      <c r="P31" s="1096"/>
      <c r="Q31" s="1096"/>
      <c r="R31" s="1096"/>
      <c r="S31" s="1097"/>
    </row>
    <row r="32" spans="2:19" s="415" customFormat="1">
      <c r="B32" s="417" t="s">
        <v>164</v>
      </c>
      <c r="C32" s="1095"/>
      <c r="D32" s="1096"/>
      <c r="E32" s="1096"/>
      <c r="F32" s="1096"/>
      <c r="G32" s="1096"/>
      <c r="H32" s="1096"/>
      <c r="I32" s="1096"/>
      <c r="J32" s="1096"/>
      <c r="K32" s="1096"/>
      <c r="L32" s="1096"/>
      <c r="M32" s="1096"/>
      <c r="N32" s="1096"/>
      <c r="O32" s="1096"/>
      <c r="P32" s="1096"/>
      <c r="Q32" s="1096"/>
      <c r="R32" s="1096"/>
      <c r="S32" s="1097"/>
    </row>
    <row r="33" spans="2:19" s="415" customFormat="1">
      <c r="B33" s="413" t="s">
        <v>165</v>
      </c>
      <c r="C33" s="1095"/>
      <c r="D33" s="1096"/>
      <c r="E33" s="1096"/>
      <c r="F33" s="1096"/>
      <c r="G33" s="1096"/>
      <c r="H33" s="1096"/>
      <c r="I33" s="1096"/>
      <c r="J33" s="1096"/>
      <c r="K33" s="1096"/>
      <c r="L33" s="1096"/>
      <c r="M33" s="1096"/>
      <c r="N33" s="1096"/>
      <c r="O33" s="1096"/>
      <c r="P33" s="1096"/>
      <c r="Q33" s="1096"/>
      <c r="R33" s="1096"/>
      <c r="S33" s="1097"/>
    </row>
    <row r="34" spans="2:19" s="415" customFormat="1">
      <c r="B34" s="418"/>
      <c r="C34" s="1095"/>
      <c r="D34" s="1096"/>
      <c r="E34" s="1096"/>
      <c r="F34" s="1096"/>
      <c r="G34" s="1096"/>
      <c r="H34" s="1096"/>
      <c r="I34" s="1096"/>
      <c r="J34" s="1096"/>
      <c r="K34" s="1096"/>
      <c r="L34" s="1096"/>
      <c r="M34" s="1096"/>
      <c r="N34" s="1096"/>
      <c r="O34" s="1096"/>
      <c r="P34" s="1096"/>
      <c r="Q34" s="1096"/>
      <c r="R34" s="1096"/>
      <c r="S34" s="1097"/>
    </row>
    <row r="35" spans="2:19" s="415" customFormat="1">
      <c r="B35" s="416" t="s">
        <v>541</v>
      </c>
      <c r="C35" s="1095"/>
      <c r="D35" s="1096"/>
      <c r="E35" s="1096"/>
      <c r="F35" s="1096"/>
      <c r="G35" s="1096"/>
      <c r="H35" s="1096"/>
      <c r="I35" s="1096"/>
      <c r="J35" s="1096"/>
      <c r="K35" s="1096"/>
      <c r="L35" s="1096"/>
      <c r="M35" s="1096"/>
      <c r="N35" s="1096"/>
      <c r="O35" s="1096"/>
      <c r="P35" s="1096"/>
      <c r="Q35" s="1096"/>
      <c r="R35" s="1096"/>
      <c r="S35" s="1097"/>
    </row>
    <row r="36" spans="2:19" s="415" customFormat="1">
      <c r="B36" s="416" t="s">
        <v>162</v>
      </c>
      <c r="C36" s="1095"/>
      <c r="D36" s="1096"/>
      <c r="E36" s="1096"/>
      <c r="F36" s="1096"/>
      <c r="G36" s="1096"/>
      <c r="H36" s="1096"/>
      <c r="I36" s="1096"/>
      <c r="J36" s="1096"/>
      <c r="K36" s="1096"/>
      <c r="L36" s="1096"/>
      <c r="M36" s="1096"/>
      <c r="N36" s="1096"/>
      <c r="O36" s="1096"/>
      <c r="P36" s="1096"/>
      <c r="Q36" s="1096"/>
      <c r="R36" s="1096"/>
      <c r="S36" s="1097"/>
    </row>
    <row r="37" spans="2:19" s="415" customFormat="1">
      <c r="B37" s="417" t="s">
        <v>163</v>
      </c>
      <c r="C37" s="1095"/>
      <c r="D37" s="1096"/>
      <c r="E37" s="1096"/>
      <c r="F37" s="1096"/>
      <c r="G37" s="1096"/>
      <c r="H37" s="1096"/>
      <c r="I37" s="1096"/>
      <c r="J37" s="1096"/>
      <c r="K37" s="1096"/>
      <c r="L37" s="1096"/>
      <c r="M37" s="1096"/>
      <c r="N37" s="1096"/>
      <c r="O37" s="1096"/>
      <c r="P37" s="1096"/>
      <c r="Q37" s="1096"/>
      <c r="R37" s="1096"/>
      <c r="S37" s="1097"/>
    </row>
    <row r="38" spans="2:19" s="415" customFormat="1">
      <c r="B38" s="417" t="s">
        <v>164</v>
      </c>
      <c r="C38" s="1095"/>
      <c r="D38" s="1096"/>
      <c r="E38" s="1096"/>
      <c r="F38" s="1096"/>
      <c r="G38" s="1096"/>
      <c r="H38" s="1096"/>
      <c r="I38" s="1096"/>
      <c r="J38" s="1096"/>
      <c r="K38" s="1096"/>
      <c r="L38" s="1096"/>
      <c r="M38" s="1096"/>
      <c r="N38" s="1096"/>
      <c r="O38" s="1096"/>
      <c r="P38" s="1096"/>
      <c r="Q38" s="1096"/>
      <c r="R38" s="1096"/>
      <c r="S38" s="1097"/>
    </row>
    <row r="39" spans="2:19" s="415" customFormat="1">
      <c r="B39" s="413" t="s">
        <v>165</v>
      </c>
      <c r="C39" s="1095"/>
      <c r="D39" s="1096"/>
      <c r="E39" s="1096"/>
      <c r="F39" s="1096"/>
      <c r="G39" s="1096"/>
      <c r="H39" s="1096"/>
      <c r="I39" s="1096"/>
      <c r="J39" s="1096"/>
      <c r="K39" s="1096"/>
      <c r="L39" s="1096"/>
      <c r="M39" s="1096"/>
      <c r="N39" s="1096"/>
      <c r="O39" s="1096"/>
      <c r="P39" s="1096"/>
      <c r="Q39" s="1096"/>
      <c r="R39" s="1096"/>
      <c r="S39" s="1097"/>
    </row>
    <row r="40" spans="2:19" s="415" customFormat="1">
      <c r="B40" s="418"/>
      <c r="C40" s="1095"/>
      <c r="D40" s="1096"/>
      <c r="E40" s="1096"/>
      <c r="F40" s="1096"/>
      <c r="G40" s="1096"/>
      <c r="H40" s="1096"/>
      <c r="I40" s="1096"/>
      <c r="J40" s="1096"/>
      <c r="K40" s="1096"/>
      <c r="L40" s="1096"/>
      <c r="M40" s="1096"/>
      <c r="N40" s="1096"/>
      <c r="O40" s="1096"/>
      <c r="P40" s="1096"/>
      <c r="Q40" s="1096"/>
      <c r="R40" s="1096"/>
      <c r="S40" s="1097"/>
    </row>
    <row r="41" spans="2:19" s="415" customFormat="1">
      <c r="B41" s="416" t="s">
        <v>542</v>
      </c>
      <c r="C41" s="1095"/>
      <c r="D41" s="1096"/>
      <c r="E41" s="1096"/>
      <c r="F41" s="1096"/>
      <c r="G41" s="1096"/>
      <c r="H41" s="1096"/>
      <c r="I41" s="1096"/>
      <c r="J41" s="1096"/>
      <c r="K41" s="1096"/>
      <c r="L41" s="1096"/>
      <c r="M41" s="1096"/>
      <c r="N41" s="1096"/>
      <c r="O41" s="1096"/>
      <c r="P41" s="1096"/>
      <c r="Q41" s="1096"/>
      <c r="R41" s="1096"/>
      <c r="S41" s="1097"/>
    </row>
    <row r="42" spans="2:19" s="415" customFormat="1">
      <c r="B42" s="416" t="s">
        <v>162</v>
      </c>
      <c r="C42" s="1095"/>
      <c r="D42" s="1096"/>
      <c r="E42" s="1096"/>
      <c r="F42" s="1096"/>
      <c r="G42" s="1096"/>
      <c r="H42" s="1096"/>
      <c r="I42" s="1096"/>
      <c r="J42" s="1096"/>
      <c r="K42" s="1096"/>
      <c r="L42" s="1096"/>
      <c r="M42" s="1096"/>
      <c r="N42" s="1096"/>
      <c r="O42" s="1096"/>
      <c r="P42" s="1096"/>
      <c r="Q42" s="1096"/>
      <c r="R42" s="1096"/>
      <c r="S42" s="1097"/>
    </row>
    <row r="43" spans="2:19" s="415" customFormat="1">
      <c r="B43" s="417" t="s">
        <v>163</v>
      </c>
      <c r="C43" s="1095"/>
      <c r="D43" s="1096"/>
      <c r="E43" s="1096"/>
      <c r="F43" s="1096"/>
      <c r="G43" s="1096"/>
      <c r="H43" s="1096"/>
      <c r="I43" s="1096"/>
      <c r="J43" s="1096"/>
      <c r="K43" s="1096"/>
      <c r="L43" s="1096"/>
      <c r="M43" s="1096"/>
      <c r="N43" s="1096"/>
      <c r="O43" s="1096"/>
      <c r="P43" s="1096"/>
      <c r="Q43" s="1096"/>
      <c r="R43" s="1096"/>
      <c r="S43" s="1097"/>
    </row>
    <row r="44" spans="2:19" s="415" customFormat="1">
      <c r="B44" s="417" t="s">
        <v>164</v>
      </c>
      <c r="C44" s="1095"/>
      <c r="D44" s="1096"/>
      <c r="E44" s="1096"/>
      <c r="F44" s="1096"/>
      <c r="G44" s="1096"/>
      <c r="H44" s="1096"/>
      <c r="I44" s="1096"/>
      <c r="J44" s="1096"/>
      <c r="K44" s="1096"/>
      <c r="L44" s="1096"/>
      <c r="M44" s="1096"/>
      <c r="N44" s="1096"/>
      <c r="O44" s="1096"/>
      <c r="P44" s="1096"/>
      <c r="Q44" s="1096"/>
      <c r="R44" s="1096"/>
      <c r="S44" s="1097"/>
    </row>
    <row r="45" spans="2:19" s="415" customFormat="1">
      <c r="B45" s="413" t="s">
        <v>165</v>
      </c>
      <c r="C45" s="1095"/>
      <c r="D45" s="1096"/>
      <c r="E45" s="1096"/>
      <c r="F45" s="1096"/>
      <c r="G45" s="1096"/>
      <c r="H45" s="1096"/>
      <c r="I45" s="1096"/>
      <c r="J45" s="1096"/>
      <c r="K45" s="1096"/>
      <c r="L45" s="1096"/>
      <c r="M45" s="1096"/>
      <c r="N45" s="1096"/>
      <c r="O45" s="1096"/>
      <c r="P45" s="1096"/>
      <c r="Q45" s="1096"/>
      <c r="R45" s="1096"/>
      <c r="S45" s="1097"/>
    </row>
    <row r="46" spans="2:19" s="415" customFormat="1">
      <c r="B46" s="418"/>
      <c r="C46" s="1095"/>
      <c r="D46" s="1096"/>
      <c r="E46" s="1096"/>
      <c r="F46" s="1096"/>
      <c r="G46" s="1096"/>
      <c r="H46" s="1096"/>
      <c r="I46" s="1096"/>
      <c r="J46" s="1096"/>
      <c r="K46" s="1096"/>
      <c r="L46" s="1096"/>
      <c r="M46" s="1096"/>
      <c r="N46" s="1096"/>
      <c r="O46" s="1096"/>
      <c r="P46" s="1096"/>
      <c r="Q46" s="1096"/>
      <c r="R46" s="1096"/>
      <c r="S46" s="1097"/>
    </row>
    <row r="47" spans="2:19" s="415" customFormat="1">
      <c r="B47" s="416" t="s">
        <v>543</v>
      </c>
      <c r="C47" s="1095"/>
      <c r="D47" s="1096"/>
      <c r="E47" s="1096"/>
      <c r="F47" s="1096"/>
      <c r="G47" s="1096"/>
      <c r="H47" s="1096"/>
      <c r="I47" s="1096"/>
      <c r="J47" s="1096"/>
      <c r="K47" s="1096"/>
      <c r="L47" s="1096"/>
      <c r="M47" s="1096"/>
      <c r="N47" s="1096"/>
      <c r="O47" s="1096"/>
      <c r="P47" s="1096"/>
      <c r="Q47" s="1096"/>
      <c r="R47" s="1096"/>
      <c r="S47" s="1097"/>
    </row>
    <row r="48" spans="2:19" s="415" customFormat="1">
      <c r="B48" s="418"/>
      <c r="C48" s="1095"/>
      <c r="D48" s="1096"/>
      <c r="E48" s="1096"/>
      <c r="F48" s="1096"/>
      <c r="G48" s="1096"/>
      <c r="H48" s="1096"/>
      <c r="I48" s="1096"/>
      <c r="J48" s="1096"/>
      <c r="K48" s="1096"/>
      <c r="L48" s="1096"/>
      <c r="M48" s="1096"/>
      <c r="N48" s="1096"/>
      <c r="O48" s="1096"/>
      <c r="P48" s="1096"/>
      <c r="Q48" s="1096"/>
      <c r="R48" s="1096"/>
      <c r="S48" s="1097"/>
    </row>
    <row r="49" spans="2:27" s="415" customFormat="1">
      <c r="B49" s="416" t="s">
        <v>544</v>
      </c>
      <c r="C49" s="1095"/>
      <c r="D49" s="1096"/>
      <c r="E49" s="1096"/>
      <c r="F49" s="1096"/>
      <c r="G49" s="1096"/>
      <c r="H49" s="1096"/>
      <c r="I49" s="1096"/>
      <c r="J49" s="1096"/>
      <c r="K49" s="1096"/>
      <c r="L49" s="1096"/>
      <c r="M49" s="1096"/>
      <c r="N49" s="1096"/>
      <c r="O49" s="1096"/>
      <c r="P49" s="1096"/>
      <c r="Q49" s="1096"/>
      <c r="R49" s="1096"/>
      <c r="S49" s="1097"/>
    </row>
    <row r="50" spans="2:27" s="415" customFormat="1">
      <c r="B50" s="414"/>
      <c r="C50" s="1098"/>
      <c r="D50" s="1099"/>
      <c r="E50" s="1099"/>
      <c r="F50" s="1099"/>
      <c r="G50" s="1099"/>
      <c r="H50" s="1099"/>
      <c r="I50" s="1099"/>
      <c r="J50" s="1099"/>
      <c r="K50" s="1099"/>
      <c r="L50" s="1099"/>
      <c r="M50" s="1099"/>
      <c r="N50" s="1099"/>
      <c r="O50" s="1099"/>
      <c r="P50" s="1099"/>
      <c r="Q50" s="1099"/>
      <c r="R50" s="1099"/>
      <c r="S50" s="1100"/>
    </row>
    <row r="51" spans="2:27">
      <c r="B51" s="420" t="s">
        <v>13</v>
      </c>
      <c r="C51" s="419"/>
      <c r="D51" s="419"/>
      <c r="E51" s="419"/>
      <c r="F51" s="419"/>
      <c r="G51" s="419"/>
      <c r="H51" s="419"/>
      <c r="I51" s="419"/>
      <c r="J51" s="419"/>
      <c r="K51" s="419"/>
      <c r="L51" s="419"/>
      <c r="M51" s="419"/>
      <c r="N51" s="419"/>
      <c r="O51" s="419"/>
      <c r="P51" s="419"/>
      <c r="Q51" s="419"/>
      <c r="R51" s="424"/>
      <c r="S51" s="424"/>
    </row>
    <row r="53" spans="2:27">
      <c r="N53" s="425"/>
      <c r="O53" s="425"/>
      <c r="P53" s="425"/>
      <c r="Q53" s="425"/>
    </row>
    <row r="54" spans="2:27" ht="15" customHeight="1">
      <c r="B54" s="329"/>
      <c r="C54" s="329"/>
      <c r="D54" s="329"/>
      <c r="E54" s="329"/>
      <c r="F54" s="329"/>
      <c r="G54" s="329"/>
      <c r="H54" s="329"/>
      <c r="I54" s="329"/>
      <c r="J54" s="329"/>
      <c r="K54" s="329"/>
      <c r="L54" s="321"/>
      <c r="M54" s="321"/>
      <c r="N54" s="321"/>
      <c r="O54" s="321"/>
      <c r="P54" s="321"/>
      <c r="Q54" s="321"/>
      <c r="R54" s="321"/>
      <c r="S54" s="321"/>
      <c r="T54" s="276"/>
      <c r="U54" s="276"/>
      <c r="V54" s="276"/>
      <c r="W54" s="276"/>
      <c r="X54" s="409"/>
      <c r="Y54" s="409"/>
      <c r="Z54" s="409"/>
      <c r="AA54" s="409"/>
    </row>
    <row r="55" spans="2:27">
      <c r="B55" s="426" t="s">
        <v>31</v>
      </c>
    </row>
    <row r="56" spans="2:27">
      <c r="K56" s="412" t="s">
        <v>33</v>
      </c>
      <c r="N56" s="9"/>
      <c r="O56" s="9"/>
      <c r="P56" s="9"/>
      <c r="Q56" s="9"/>
    </row>
    <row r="57" spans="2:27" ht="25.5" customHeight="1">
      <c r="B57" s="1088" t="s">
        <v>15</v>
      </c>
      <c r="C57" s="1080" t="s">
        <v>237</v>
      </c>
      <c r="D57" s="1080"/>
      <c r="E57" s="1080"/>
      <c r="F57" s="1080"/>
      <c r="G57" s="1080"/>
      <c r="H57" s="1080"/>
      <c r="I57" s="1080"/>
      <c r="J57" s="1080"/>
      <c r="K57" s="1080"/>
      <c r="L57" s="427"/>
      <c r="M57" s="427"/>
    </row>
    <row r="58" spans="2:27" ht="17.5" customHeight="1">
      <c r="B58" s="1089"/>
      <c r="C58" s="1083" t="s">
        <v>522</v>
      </c>
      <c r="D58" s="1083" t="s">
        <v>523</v>
      </c>
      <c r="E58" s="1083" t="s">
        <v>51</v>
      </c>
      <c r="F58" s="1083" t="s">
        <v>16</v>
      </c>
      <c r="G58" s="1080" t="s">
        <v>17</v>
      </c>
      <c r="H58" s="1111"/>
      <c r="I58" s="1111"/>
      <c r="J58" s="1111"/>
      <c r="K58" s="1111"/>
      <c r="L58" s="428"/>
      <c r="M58" s="428"/>
    </row>
    <row r="59" spans="2:27" ht="47.25" customHeight="1">
      <c r="B59" s="1090"/>
      <c r="C59" s="1084"/>
      <c r="D59" s="1084"/>
      <c r="E59" s="1084"/>
      <c r="F59" s="1084"/>
      <c r="G59" s="17" t="s">
        <v>11</v>
      </c>
      <c r="H59" s="17" t="s">
        <v>52</v>
      </c>
      <c r="I59" s="17" t="s">
        <v>49</v>
      </c>
      <c r="J59" s="17" t="s">
        <v>50</v>
      </c>
      <c r="K59" s="17" t="s">
        <v>12</v>
      </c>
    </row>
    <row r="60" spans="2:27" s="415" customFormat="1">
      <c r="B60" s="413" t="s">
        <v>213</v>
      </c>
      <c r="C60" s="1101" t="s">
        <v>950</v>
      </c>
      <c r="D60" s="1102"/>
      <c r="E60" s="1102"/>
      <c r="F60" s="1102"/>
      <c r="G60" s="1102"/>
      <c r="H60" s="1102"/>
      <c r="I60" s="1102"/>
      <c r="J60" s="1102"/>
      <c r="K60" s="1103"/>
    </row>
    <row r="61" spans="2:27" s="415" customFormat="1">
      <c r="B61" s="416" t="s">
        <v>162</v>
      </c>
      <c r="C61" s="1104"/>
      <c r="D61" s="1105"/>
      <c r="E61" s="1105"/>
      <c r="F61" s="1105"/>
      <c r="G61" s="1105"/>
      <c r="H61" s="1105"/>
      <c r="I61" s="1105"/>
      <c r="J61" s="1105"/>
      <c r="K61" s="1106"/>
    </row>
    <row r="62" spans="2:27" s="415" customFormat="1">
      <c r="B62" s="417" t="s">
        <v>163</v>
      </c>
      <c r="C62" s="1104"/>
      <c r="D62" s="1105"/>
      <c r="E62" s="1105"/>
      <c r="F62" s="1105"/>
      <c r="G62" s="1105"/>
      <c r="H62" s="1105"/>
      <c r="I62" s="1105"/>
      <c r="J62" s="1105"/>
      <c r="K62" s="1106"/>
    </row>
    <row r="63" spans="2:27" s="415" customFormat="1">
      <c r="B63" s="417" t="s">
        <v>164</v>
      </c>
      <c r="C63" s="1104"/>
      <c r="D63" s="1105"/>
      <c r="E63" s="1105"/>
      <c r="F63" s="1105"/>
      <c r="G63" s="1105"/>
      <c r="H63" s="1105"/>
      <c r="I63" s="1105"/>
      <c r="J63" s="1105"/>
      <c r="K63" s="1106"/>
    </row>
    <row r="64" spans="2:27" s="415" customFormat="1">
      <c r="B64" s="413" t="s">
        <v>165</v>
      </c>
      <c r="C64" s="1104"/>
      <c r="D64" s="1105"/>
      <c r="E64" s="1105"/>
      <c r="F64" s="1105"/>
      <c r="G64" s="1105"/>
      <c r="H64" s="1105"/>
      <c r="I64" s="1105"/>
      <c r="J64" s="1105"/>
      <c r="K64" s="1106"/>
    </row>
    <row r="65" spans="2:11" s="415" customFormat="1">
      <c r="B65" s="414"/>
      <c r="C65" s="1104"/>
      <c r="D65" s="1105"/>
      <c r="E65" s="1105"/>
      <c r="F65" s="1105"/>
      <c r="G65" s="1105"/>
      <c r="H65" s="1105"/>
      <c r="I65" s="1105"/>
      <c r="J65" s="1105"/>
      <c r="K65" s="1106"/>
    </row>
    <row r="66" spans="2:11" s="415" customFormat="1">
      <c r="B66" s="413" t="s">
        <v>214</v>
      </c>
      <c r="C66" s="1104"/>
      <c r="D66" s="1105"/>
      <c r="E66" s="1105"/>
      <c r="F66" s="1105"/>
      <c r="G66" s="1105"/>
      <c r="H66" s="1105"/>
      <c r="I66" s="1105"/>
      <c r="J66" s="1105"/>
      <c r="K66" s="1106"/>
    </row>
    <row r="67" spans="2:11" s="415" customFormat="1">
      <c r="B67" s="416" t="s">
        <v>162</v>
      </c>
      <c r="C67" s="1104"/>
      <c r="D67" s="1105"/>
      <c r="E67" s="1105"/>
      <c r="F67" s="1105"/>
      <c r="G67" s="1105"/>
      <c r="H67" s="1105"/>
      <c r="I67" s="1105"/>
      <c r="J67" s="1105"/>
      <c r="K67" s="1106"/>
    </row>
    <row r="68" spans="2:11" s="415" customFormat="1">
      <c r="B68" s="417" t="s">
        <v>163</v>
      </c>
      <c r="C68" s="1104"/>
      <c r="D68" s="1105"/>
      <c r="E68" s="1105"/>
      <c r="F68" s="1105"/>
      <c r="G68" s="1105"/>
      <c r="H68" s="1105"/>
      <c r="I68" s="1105"/>
      <c r="J68" s="1105"/>
      <c r="K68" s="1106"/>
    </row>
    <row r="69" spans="2:11" s="415" customFormat="1">
      <c r="B69" s="417" t="s">
        <v>164</v>
      </c>
      <c r="C69" s="1104"/>
      <c r="D69" s="1105"/>
      <c r="E69" s="1105"/>
      <c r="F69" s="1105"/>
      <c r="G69" s="1105"/>
      <c r="H69" s="1105"/>
      <c r="I69" s="1105"/>
      <c r="J69" s="1105"/>
      <c r="K69" s="1106"/>
    </row>
    <row r="70" spans="2:11" s="415" customFormat="1">
      <c r="B70" s="413" t="s">
        <v>165</v>
      </c>
      <c r="C70" s="1104"/>
      <c r="D70" s="1105"/>
      <c r="E70" s="1105"/>
      <c r="F70" s="1105"/>
      <c r="G70" s="1105"/>
      <c r="H70" s="1105"/>
      <c r="I70" s="1105"/>
      <c r="J70" s="1105"/>
      <c r="K70" s="1106"/>
    </row>
    <row r="71" spans="2:11" s="415" customFormat="1">
      <c r="B71" s="414"/>
      <c r="C71" s="1104"/>
      <c r="D71" s="1105"/>
      <c r="E71" s="1105"/>
      <c r="F71" s="1105"/>
      <c r="G71" s="1105"/>
      <c r="H71" s="1105"/>
      <c r="I71" s="1105"/>
      <c r="J71" s="1105"/>
      <c r="K71" s="1106"/>
    </row>
    <row r="72" spans="2:11" s="415" customFormat="1">
      <c r="B72" s="413" t="s">
        <v>215</v>
      </c>
      <c r="C72" s="1104"/>
      <c r="D72" s="1105"/>
      <c r="E72" s="1105"/>
      <c r="F72" s="1105"/>
      <c r="G72" s="1105"/>
      <c r="H72" s="1105"/>
      <c r="I72" s="1105"/>
      <c r="J72" s="1105"/>
      <c r="K72" s="1106"/>
    </row>
    <row r="73" spans="2:11" s="415" customFormat="1">
      <c r="B73" s="416" t="s">
        <v>162</v>
      </c>
      <c r="C73" s="1104"/>
      <c r="D73" s="1105"/>
      <c r="E73" s="1105"/>
      <c r="F73" s="1105"/>
      <c r="G73" s="1105"/>
      <c r="H73" s="1105"/>
      <c r="I73" s="1105"/>
      <c r="J73" s="1105"/>
      <c r="K73" s="1106"/>
    </row>
    <row r="74" spans="2:11" s="415" customFormat="1">
      <c r="B74" s="417" t="s">
        <v>163</v>
      </c>
      <c r="C74" s="1104"/>
      <c r="D74" s="1105"/>
      <c r="E74" s="1105"/>
      <c r="F74" s="1105"/>
      <c r="G74" s="1105"/>
      <c r="H74" s="1105"/>
      <c r="I74" s="1105"/>
      <c r="J74" s="1105"/>
      <c r="K74" s="1106"/>
    </row>
    <row r="75" spans="2:11" s="415" customFormat="1">
      <c r="B75" s="417" t="s">
        <v>164</v>
      </c>
      <c r="C75" s="1104"/>
      <c r="D75" s="1105"/>
      <c r="E75" s="1105"/>
      <c r="F75" s="1105"/>
      <c r="G75" s="1105"/>
      <c r="H75" s="1105"/>
      <c r="I75" s="1105"/>
      <c r="J75" s="1105"/>
      <c r="K75" s="1106"/>
    </row>
    <row r="76" spans="2:11" s="415" customFormat="1">
      <c r="B76" s="413" t="s">
        <v>165</v>
      </c>
      <c r="C76" s="1104"/>
      <c r="D76" s="1105"/>
      <c r="E76" s="1105"/>
      <c r="F76" s="1105"/>
      <c r="G76" s="1105"/>
      <c r="H76" s="1105"/>
      <c r="I76" s="1105"/>
      <c r="J76" s="1105"/>
      <c r="K76" s="1106"/>
    </row>
    <row r="77" spans="2:11" s="415" customFormat="1">
      <c r="B77" s="418"/>
      <c r="C77" s="1104"/>
      <c r="D77" s="1105"/>
      <c r="E77" s="1105"/>
      <c r="F77" s="1105"/>
      <c r="G77" s="1105"/>
      <c r="H77" s="1105"/>
      <c r="I77" s="1105"/>
      <c r="J77" s="1105"/>
      <c r="K77" s="1106"/>
    </row>
    <row r="78" spans="2:11" s="415" customFormat="1">
      <c r="B78" s="416" t="s">
        <v>540</v>
      </c>
      <c r="C78" s="1104"/>
      <c r="D78" s="1105"/>
      <c r="E78" s="1105"/>
      <c r="F78" s="1105"/>
      <c r="G78" s="1105"/>
      <c r="H78" s="1105"/>
      <c r="I78" s="1105"/>
      <c r="J78" s="1105"/>
      <c r="K78" s="1106"/>
    </row>
    <row r="79" spans="2:11" s="415" customFormat="1">
      <c r="B79" s="416" t="s">
        <v>162</v>
      </c>
      <c r="C79" s="1104"/>
      <c r="D79" s="1105"/>
      <c r="E79" s="1105"/>
      <c r="F79" s="1105"/>
      <c r="G79" s="1105"/>
      <c r="H79" s="1105"/>
      <c r="I79" s="1105"/>
      <c r="J79" s="1105"/>
      <c r="K79" s="1106"/>
    </row>
    <row r="80" spans="2:11" s="415" customFormat="1">
      <c r="B80" s="417" t="s">
        <v>163</v>
      </c>
      <c r="C80" s="1104"/>
      <c r="D80" s="1105"/>
      <c r="E80" s="1105"/>
      <c r="F80" s="1105"/>
      <c r="G80" s="1105"/>
      <c r="H80" s="1105"/>
      <c r="I80" s="1105"/>
      <c r="J80" s="1105"/>
      <c r="K80" s="1106"/>
    </row>
    <row r="81" spans="2:11" s="415" customFormat="1">
      <c r="B81" s="417" t="s">
        <v>164</v>
      </c>
      <c r="C81" s="1104"/>
      <c r="D81" s="1105"/>
      <c r="E81" s="1105"/>
      <c r="F81" s="1105"/>
      <c r="G81" s="1105"/>
      <c r="H81" s="1105"/>
      <c r="I81" s="1105"/>
      <c r="J81" s="1105"/>
      <c r="K81" s="1106"/>
    </row>
    <row r="82" spans="2:11" s="415" customFormat="1">
      <c r="B82" s="413" t="s">
        <v>165</v>
      </c>
      <c r="C82" s="1104"/>
      <c r="D82" s="1105"/>
      <c r="E82" s="1105"/>
      <c r="F82" s="1105"/>
      <c r="G82" s="1105"/>
      <c r="H82" s="1105"/>
      <c r="I82" s="1105"/>
      <c r="J82" s="1105"/>
      <c r="K82" s="1106"/>
    </row>
    <row r="83" spans="2:11" s="415" customFormat="1">
      <c r="B83" s="418"/>
      <c r="C83" s="1104"/>
      <c r="D83" s="1105"/>
      <c r="E83" s="1105"/>
      <c r="F83" s="1105"/>
      <c r="G83" s="1105"/>
      <c r="H83" s="1105"/>
      <c r="I83" s="1105"/>
      <c r="J83" s="1105"/>
      <c r="K83" s="1106"/>
    </row>
    <row r="84" spans="2:11" s="415" customFormat="1">
      <c r="B84" s="416" t="s">
        <v>541</v>
      </c>
      <c r="C84" s="1104"/>
      <c r="D84" s="1105"/>
      <c r="E84" s="1105"/>
      <c r="F84" s="1105"/>
      <c r="G84" s="1105"/>
      <c r="H84" s="1105"/>
      <c r="I84" s="1105"/>
      <c r="J84" s="1105"/>
      <c r="K84" s="1106"/>
    </row>
    <row r="85" spans="2:11" s="415" customFormat="1">
      <c r="B85" s="416" t="s">
        <v>162</v>
      </c>
      <c r="C85" s="1104"/>
      <c r="D85" s="1105"/>
      <c r="E85" s="1105"/>
      <c r="F85" s="1105"/>
      <c r="G85" s="1105"/>
      <c r="H85" s="1105"/>
      <c r="I85" s="1105"/>
      <c r="J85" s="1105"/>
      <c r="K85" s="1106"/>
    </row>
    <row r="86" spans="2:11" s="415" customFormat="1">
      <c r="B86" s="417" t="s">
        <v>163</v>
      </c>
      <c r="C86" s="1104"/>
      <c r="D86" s="1105"/>
      <c r="E86" s="1105"/>
      <c r="F86" s="1105"/>
      <c r="G86" s="1105"/>
      <c r="H86" s="1105"/>
      <c r="I86" s="1105"/>
      <c r="J86" s="1105"/>
      <c r="K86" s="1106"/>
    </row>
    <row r="87" spans="2:11" s="415" customFormat="1">
      <c r="B87" s="417" t="s">
        <v>164</v>
      </c>
      <c r="C87" s="1104"/>
      <c r="D87" s="1105"/>
      <c r="E87" s="1105"/>
      <c r="F87" s="1105"/>
      <c r="G87" s="1105"/>
      <c r="H87" s="1105"/>
      <c r="I87" s="1105"/>
      <c r="J87" s="1105"/>
      <c r="K87" s="1106"/>
    </row>
    <row r="88" spans="2:11" s="415" customFormat="1">
      <c r="B88" s="413" t="s">
        <v>165</v>
      </c>
      <c r="C88" s="1104"/>
      <c r="D88" s="1105"/>
      <c r="E88" s="1105"/>
      <c r="F88" s="1105"/>
      <c r="G88" s="1105"/>
      <c r="H88" s="1105"/>
      <c r="I88" s="1105"/>
      <c r="J88" s="1105"/>
      <c r="K88" s="1106"/>
    </row>
    <row r="89" spans="2:11" s="415" customFormat="1">
      <c r="B89" s="418"/>
      <c r="C89" s="1104"/>
      <c r="D89" s="1105"/>
      <c r="E89" s="1105"/>
      <c r="F89" s="1105"/>
      <c r="G89" s="1105"/>
      <c r="H89" s="1105"/>
      <c r="I89" s="1105"/>
      <c r="J89" s="1105"/>
      <c r="K89" s="1106"/>
    </row>
    <row r="90" spans="2:11" s="415" customFormat="1">
      <c r="B90" s="416" t="s">
        <v>542</v>
      </c>
      <c r="C90" s="1104"/>
      <c r="D90" s="1105"/>
      <c r="E90" s="1105"/>
      <c r="F90" s="1105"/>
      <c r="G90" s="1105"/>
      <c r="H90" s="1105"/>
      <c r="I90" s="1105"/>
      <c r="J90" s="1105"/>
      <c r="K90" s="1106"/>
    </row>
    <row r="91" spans="2:11" s="415" customFormat="1">
      <c r="B91" s="416" t="s">
        <v>162</v>
      </c>
      <c r="C91" s="1104"/>
      <c r="D91" s="1105"/>
      <c r="E91" s="1105"/>
      <c r="F91" s="1105"/>
      <c r="G91" s="1105"/>
      <c r="H91" s="1105"/>
      <c r="I91" s="1105"/>
      <c r="J91" s="1105"/>
      <c r="K91" s="1106"/>
    </row>
    <row r="92" spans="2:11" s="415" customFormat="1">
      <c r="B92" s="417" t="s">
        <v>163</v>
      </c>
      <c r="C92" s="1104"/>
      <c r="D92" s="1105"/>
      <c r="E92" s="1105"/>
      <c r="F92" s="1105"/>
      <c r="G92" s="1105"/>
      <c r="H92" s="1105"/>
      <c r="I92" s="1105"/>
      <c r="J92" s="1105"/>
      <c r="K92" s="1106"/>
    </row>
    <row r="93" spans="2:11" s="415" customFormat="1">
      <c r="B93" s="417" t="s">
        <v>164</v>
      </c>
      <c r="C93" s="1104"/>
      <c r="D93" s="1105"/>
      <c r="E93" s="1105"/>
      <c r="F93" s="1105"/>
      <c r="G93" s="1105"/>
      <c r="H93" s="1105"/>
      <c r="I93" s="1105"/>
      <c r="J93" s="1105"/>
      <c r="K93" s="1106"/>
    </row>
    <row r="94" spans="2:11" s="415" customFormat="1">
      <c r="B94" s="413" t="s">
        <v>165</v>
      </c>
      <c r="C94" s="1104"/>
      <c r="D94" s="1105"/>
      <c r="E94" s="1105"/>
      <c r="F94" s="1105"/>
      <c r="G94" s="1105"/>
      <c r="H94" s="1105"/>
      <c r="I94" s="1105"/>
      <c r="J94" s="1105"/>
      <c r="K94" s="1106"/>
    </row>
    <row r="95" spans="2:11" s="415" customFormat="1">
      <c r="B95" s="418"/>
      <c r="C95" s="1104"/>
      <c r="D95" s="1105"/>
      <c r="E95" s="1105"/>
      <c r="F95" s="1105"/>
      <c r="G95" s="1105"/>
      <c r="H95" s="1105"/>
      <c r="I95" s="1105"/>
      <c r="J95" s="1105"/>
      <c r="K95" s="1106"/>
    </row>
    <row r="96" spans="2:11" s="415" customFormat="1">
      <c r="B96" s="416" t="s">
        <v>543</v>
      </c>
      <c r="C96" s="1104"/>
      <c r="D96" s="1105"/>
      <c r="E96" s="1105"/>
      <c r="F96" s="1105"/>
      <c r="G96" s="1105"/>
      <c r="H96" s="1105"/>
      <c r="I96" s="1105"/>
      <c r="J96" s="1105"/>
      <c r="K96" s="1106"/>
    </row>
    <row r="97" spans="2:11" s="415" customFormat="1">
      <c r="B97" s="418"/>
      <c r="C97" s="1104"/>
      <c r="D97" s="1105"/>
      <c r="E97" s="1105"/>
      <c r="F97" s="1105"/>
      <c r="G97" s="1105"/>
      <c r="H97" s="1105"/>
      <c r="I97" s="1105"/>
      <c r="J97" s="1105"/>
      <c r="K97" s="1106"/>
    </row>
    <row r="98" spans="2:11" s="415" customFormat="1">
      <c r="B98" s="416" t="s">
        <v>544</v>
      </c>
      <c r="C98" s="1104"/>
      <c r="D98" s="1105"/>
      <c r="E98" s="1105"/>
      <c r="F98" s="1105"/>
      <c r="G98" s="1105"/>
      <c r="H98" s="1105"/>
      <c r="I98" s="1105"/>
      <c r="J98" s="1105"/>
      <c r="K98" s="1106"/>
    </row>
    <row r="99" spans="2:11" s="415" customFormat="1">
      <c r="B99" s="414"/>
      <c r="C99" s="1107"/>
      <c r="D99" s="1108"/>
      <c r="E99" s="1108"/>
      <c r="F99" s="1108"/>
      <c r="G99" s="1108"/>
      <c r="H99" s="1108"/>
      <c r="I99" s="1108"/>
      <c r="J99" s="1108"/>
      <c r="K99" s="1109"/>
    </row>
    <row r="100" spans="2:11">
      <c r="B100" s="420" t="s">
        <v>13</v>
      </c>
      <c r="C100" s="419"/>
      <c r="D100" s="419"/>
      <c r="E100" s="419"/>
      <c r="F100" s="419"/>
      <c r="G100" s="419"/>
      <c r="H100" s="419"/>
      <c r="I100" s="419"/>
      <c r="J100" s="419"/>
      <c r="K100" s="419"/>
    </row>
    <row r="102" spans="2:11">
      <c r="B102" s="1076" t="s">
        <v>740</v>
      </c>
      <c r="C102" s="1076"/>
      <c r="D102" s="1076"/>
      <c r="E102" s="1076"/>
      <c r="F102" s="1076"/>
      <c r="G102" s="1076"/>
      <c r="H102" s="1076"/>
      <c r="I102" s="1076"/>
      <c r="J102" s="1076"/>
      <c r="K102" s="1076"/>
    </row>
    <row r="103" spans="2:11">
      <c r="B103" s="1076" t="s">
        <v>560</v>
      </c>
      <c r="C103" s="1076"/>
      <c r="D103" s="1076"/>
      <c r="E103" s="1076"/>
      <c r="F103" s="1076"/>
      <c r="G103" s="1076"/>
      <c r="H103" s="1076"/>
      <c r="I103" s="1076"/>
      <c r="J103" s="1076"/>
      <c r="K103" s="1076"/>
    </row>
  </sheetData>
  <mergeCells count="31">
    <mergeCell ref="C11:S50"/>
    <mergeCell ref="C60:K99"/>
    <mergeCell ref="B2:S2"/>
    <mergeCell ref="B3:S3"/>
    <mergeCell ref="B4:S4"/>
    <mergeCell ref="D8:D10"/>
    <mergeCell ref="E8:E10"/>
    <mergeCell ref="F8:F10"/>
    <mergeCell ref="G9:G10"/>
    <mergeCell ref="C58:C59"/>
    <mergeCell ref="D58:D59"/>
    <mergeCell ref="C57:K57"/>
    <mergeCell ref="G58:K58"/>
    <mergeCell ref="F58:F59"/>
    <mergeCell ref="E58:E59"/>
    <mergeCell ref="B102:K102"/>
    <mergeCell ref="B103:K103"/>
    <mergeCell ref="O9:S9"/>
    <mergeCell ref="M8:S8"/>
    <mergeCell ref="J9:J10"/>
    <mergeCell ref="K9:K10"/>
    <mergeCell ref="L9:L10"/>
    <mergeCell ref="M9:M10"/>
    <mergeCell ref="N9:N10"/>
    <mergeCell ref="J8:L8"/>
    <mergeCell ref="H9:H10"/>
    <mergeCell ref="B57:B59"/>
    <mergeCell ref="G8:I8"/>
    <mergeCell ref="B8:B10"/>
    <mergeCell ref="I9:I10"/>
    <mergeCell ref="C8:C10"/>
  </mergeCells>
  <pageMargins left="0.43307086614173229" right="0.43307086614173229" top="0.43307086614173229" bottom="0.43307086614173229" header="0.31496062992125984" footer="0.31496062992125984"/>
  <pageSetup paperSize="9" scale="49" orientation="landscape" r:id="rId1"/>
  <headerFooter>
    <oddFooter>&amp;CPage. &amp;P</oddFooter>
  </headerFooter>
  <rowBreaks count="1" manualBreakCount="1">
    <brk id="54" max="16383" man="1"/>
  </rowBreaks>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X54"/>
  <sheetViews>
    <sheetView showGridLines="0" view="pageBreakPreview" topLeftCell="B31" zoomScale="70" zoomScaleNormal="80" zoomScaleSheetLayoutView="70" workbookViewId="0">
      <selection activeCell="D11" sqref="D11:W50"/>
    </sheetView>
  </sheetViews>
  <sheetFormatPr baseColWidth="10" defaultColWidth="9.1640625" defaultRowHeight="15"/>
  <cols>
    <col min="1" max="1" width="4.5" style="26" customWidth="1"/>
    <col min="2" max="2" width="8.33203125" style="26" customWidth="1"/>
    <col min="3" max="3" width="46.5" style="26" customWidth="1"/>
    <col min="4" max="43" width="11.6640625" style="926" customWidth="1"/>
    <col min="44" max="46" width="12.6640625" style="26" customWidth="1"/>
    <col min="47" max="47" width="15.33203125" style="26" customWidth="1"/>
    <col min="48" max="48" width="12.5" style="26" customWidth="1"/>
    <col min="49" max="50" width="13.5" style="26" customWidth="1"/>
    <col min="51" max="53" width="9.1640625" style="26"/>
    <col min="54" max="54" width="11.33203125" style="26" customWidth="1"/>
    <col min="55" max="16384" width="9.1640625" style="26"/>
  </cols>
  <sheetData>
    <row r="2" spans="2:50">
      <c r="C2" s="422"/>
      <c r="D2" s="422"/>
      <c r="E2" s="422"/>
      <c r="F2" s="422"/>
      <c r="G2" s="422"/>
      <c r="H2" s="422"/>
      <c r="I2" s="422"/>
      <c r="J2" s="422"/>
      <c r="K2" s="422"/>
      <c r="L2" s="422"/>
      <c r="M2" s="422"/>
      <c r="N2" s="422"/>
      <c r="O2" s="422"/>
      <c r="P2" s="422"/>
      <c r="Q2" s="422"/>
      <c r="R2" s="422"/>
      <c r="S2" s="925"/>
      <c r="T2" s="925"/>
      <c r="U2" s="925"/>
      <c r="V2" s="925"/>
      <c r="W2" s="925"/>
      <c r="X2" s="925"/>
      <c r="Y2" s="925"/>
      <c r="Z2" s="925"/>
    </row>
    <row r="3" spans="2:50">
      <c r="B3" s="1124" t="str">
        <f>Index!B2</f>
        <v>Jaigad Power Transco Ltd</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124"/>
      <c r="AM3" s="1124"/>
      <c r="AN3" s="1124"/>
      <c r="AO3" s="1124"/>
      <c r="AP3" s="1124"/>
      <c r="AQ3" s="1124"/>
    </row>
    <row r="4" spans="2:50">
      <c r="B4" s="1125" t="s">
        <v>189</v>
      </c>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row>
    <row r="5" spans="2:50">
      <c r="B5" s="1126" t="s">
        <v>515</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c r="AE5" s="1126"/>
      <c r="AF5" s="1126"/>
      <c r="AG5" s="1126"/>
      <c r="AH5" s="1126"/>
      <c r="AI5" s="1126"/>
      <c r="AJ5" s="1126"/>
      <c r="AK5" s="1126"/>
      <c r="AL5" s="1126"/>
      <c r="AM5" s="1126"/>
      <c r="AN5" s="1126"/>
      <c r="AO5" s="1126"/>
      <c r="AP5" s="1126"/>
      <c r="AQ5" s="1126"/>
      <c r="AR5" s="423"/>
      <c r="AS5" s="423"/>
      <c r="AT5" s="423"/>
      <c r="AU5" s="409"/>
      <c r="AV5" s="409"/>
      <c r="AW5" s="409"/>
      <c r="AX5" s="409"/>
    </row>
    <row r="6" spans="2:50" ht="15" customHeight="1">
      <c r="C6" s="411" t="s">
        <v>8</v>
      </c>
      <c r="D6" s="927"/>
      <c r="E6" s="927"/>
      <c r="F6" s="927"/>
      <c r="G6" s="927"/>
      <c r="H6" s="927"/>
      <c r="I6" s="927"/>
      <c r="J6" s="927"/>
      <c r="K6" s="927"/>
      <c r="L6" s="927"/>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409"/>
      <c r="AS6" s="409"/>
      <c r="AT6" s="409"/>
      <c r="AU6" s="409"/>
      <c r="AV6" s="409"/>
      <c r="AW6" s="409"/>
      <c r="AX6" s="409"/>
    </row>
    <row r="7" spans="2:50">
      <c r="C7" s="410"/>
      <c r="D7" s="929"/>
      <c r="E7" s="929"/>
      <c r="F7" s="929"/>
      <c r="G7" s="929"/>
      <c r="H7" s="929"/>
      <c r="I7" s="929"/>
      <c r="J7" s="929"/>
      <c r="K7" s="929"/>
      <c r="L7" s="929"/>
      <c r="M7" s="929"/>
      <c r="N7" s="928"/>
      <c r="O7" s="928"/>
      <c r="P7" s="928"/>
      <c r="Q7" s="928"/>
      <c r="R7" s="928"/>
      <c r="S7" s="928"/>
      <c r="T7" s="928"/>
      <c r="U7" s="930"/>
      <c r="V7" s="930"/>
      <c r="AA7" s="928"/>
      <c r="AB7" s="928"/>
      <c r="AC7" s="928"/>
      <c r="AD7" s="928"/>
      <c r="AE7" s="928"/>
      <c r="AF7" s="930"/>
      <c r="AG7" s="930"/>
      <c r="AH7" s="930"/>
      <c r="AI7" s="928"/>
      <c r="AK7" s="928"/>
      <c r="AL7" s="928"/>
      <c r="AM7" s="928"/>
      <c r="AO7" s="931"/>
      <c r="AP7" s="931"/>
      <c r="AQ7" s="930"/>
      <c r="AR7" s="412"/>
      <c r="AS7" s="412"/>
      <c r="AT7" s="412"/>
      <c r="AU7" s="409"/>
      <c r="AV7" s="409"/>
      <c r="AW7" s="409"/>
    </row>
    <row r="8" spans="2:50" ht="29.25" customHeight="1">
      <c r="B8" s="1083" t="s">
        <v>226</v>
      </c>
      <c r="C8" s="1083" t="s">
        <v>79</v>
      </c>
      <c r="D8" s="1083" t="s">
        <v>9</v>
      </c>
      <c r="E8" s="1083" t="s">
        <v>522</v>
      </c>
      <c r="F8" s="1083" t="s">
        <v>523</v>
      </c>
      <c r="G8" s="1083" t="s">
        <v>527</v>
      </c>
      <c r="H8" s="1083" t="s">
        <v>82</v>
      </c>
      <c r="I8" s="1083" t="s">
        <v>621</v>
      </c>
      <c r="J8" s="1083" t="s">
        <v>528</v>
      </c>
      <c r="K8" s="1083" t="s">
        <v>529</v>
      </c>
      <c r="L8" s="1083" t="s">
        <v>531</v>
      </c>
      <c r="M8" s="1083" t="s">
        <v>530</v>
      </c>
      <c r="N8" s="1083" t="s">
        <v>80</v>
      </c>
      <c r="O8" s="1112" t="s">
        <v>952</v>
      </c>
      <c r="P8" s="1113"/>
      <c r="Q8" s="1113"/>
      <c r="R8" s="1113"/>
      <c r="S8" s="1113"/>
      <c r="T8" s="1113"/>
      <c r="U8" s="1113"/>
      <c r="V8" s="1113"/>
      <c r="W8" s="1114"/>
      <c r="X8" s="1085" t="s">
        <v>85</v>
      </c>
      <c r="Y8" s="1086"/>
      <c r="Z8" s="1086"/>
      <c r="AA8" s="1086"/>
      <c r="AB8" s="1086"/>
      <c r="AC8" s="1086"/>
      <c r="AD8" s="1086"/>
      <c r="AE8" s="1086"/>
      <c r="AF8" s="1087"/>
      <c r="AG8" s="1085" t="s">
        <v>951</v>
      </c>
      <c r="AH8" s="1086"/>
      <c r="AI8" s="1086"/>
      <c r="AJ8" s="1086"/>
      <c r="AK8" s="1086"/>
      <c r="AL8" s="1086"/>
      <c r="AM8" s="1086"/>
      <c r="AN8" s="1086"/>
      <c r="AO8" s="1087"/>
      <c r="AP8" s="1127" t="s">
        <v>372</v>
      </c>
      <c r="AQ8" s="1127"/>
    </row>
    <row r="9" spans="2:50" ht="29.25" customHeight="1">
      <c r="B9" s="1091"/>
      <c r="C9" s="1091"/>
      <c r="D9" s="1091"/>
      <c r="E9" s="1091"/>
      <c r="F9" s="1091"/>
      <c r="G9" s="1091"/>
      <c r="H9" s="1091"/>
      <c r="I9" s="1091"/>
      <c r="J9" s="1091"/>
      <c r="K9" s="1091"/>
      <c r="L9" s="1091"/>
      <c r="M9" s="1091"/>
      <c r="N9" s="1091"/>
      <c r="O9" s="1083" t="s">
        <v>562</v>
      </c>
      <c r="P9" s="894" t="s">
        <v>26</v>
      </c>
      <c r="Q9" s="893" t="s">
        <v>26</v>
      </c>
      <c r="R9" s="893" t="s">
        <v>59</v>
      </c>
      <c r="S9" s="893" t="s">
        <v>86</v>
      </c>
      <c r="T9" s="893" t="s">
        <v>86</v>
      </c>
      <c r="U9" s="893" t="s">
        <v>86</v>
      </c>
      <c r="V9" s="893" t="s">
        <v>86</v>
      </c>
      <c r="W9" s="893" t="s">
        <v>86</v>
      </c>
      <c r="X9" s="1083" t="s">
        <v>563</v>
      </c>
      <c r="Y9" s="894" t="s">
        <v>26</v>
      </c>
      <c r="Z9" s="893" t="s">
        <v>26</v>
      </c>
      <c r="AA9" s="893" t="s">
        <v>59</v>
      </c>
      <c r="AB9" s="893" t="s">
        <v>86</v>
      </c>
      <c r="AC9" s="893" t="s">
        <v>86</v>
      </c>
      <c r="AD9" s="893" t="s">
        <v>86</v>
      </c>
      <c r="AE9" s="893" t="s">
        <v>86</v>
      </c>
      <c r="AF9" s="893" t="s">
        <v>86</v>
      </c>
      <c r="AG9" s="1083" t="s">
        <v>564</v>
      </c>
      <c r="AH9" s="894" t="s">
        <v>26</v>
      </c>
      <c r="AI9" s="893" t="s">
        <v>26</v>
      </c>
      <c r="AJ9" s="893" t="s">
        <v>59</v>
      </c>
      <c r="AK9" s="893" t="s">
        <v>86</v>
      </c>
      <c r="AL9" s="893" t="s">
        <v>86</v>
      </c>
      <c r="AM9" s="893" t="s">
        <v>86</v>
      </c>
      <c r="AN9" s="893" t="s">
        <v>86</v>
      </c>
      <c r="AO9" s="893" t="s">
        <v>86</v>
      </c>
      <c r="AP9" s="1128" t="s">
        <v>677</v>
      </c>
      <c r="AQ9" s="1130" t="s">
        <v>678</v>
      </c>
    </row>
    <row r="10" spans="2:50" ht="29.25" customHeight="1">
      <c r="B10" s="1084"/>
      <c r="C10" s="1084"/>
      <c r="D10" s="1084"/>
      <c r="E10" s="1084"/>
      <c r="F10" s="1084"/>
      <c r="G10" s="1084"/>
      <c r="H10" s="1084"/>
      <c r="I10" s="1084"/>
      <c r="J10" s="1084"/>
      <c r="K10" s="1084"/>
      <c r="L10" s="1084"/>
      <c r="M10" s="1084"/>
      <c r="N10" s="1084"/>
      <c r="O10" s="1084"/>
      <c r="P10" s="891" t="s">
        <v>213</v>
      </c>
      <c r="Q10" s="891" t="s">
        <v>214</v>
      </c>
      <c r="R10" s="891" t="s">
        <v>215</v>
      </c>
      <c r="S10" s="891" t="s">
        <v>540</v>
      </c>
      <c r="T10" s="891" t="s">
        <v>541</v>
      </c>
      <c r="U10" s="891" t="s">
        <v>542</v>
      </c>
      <c r="V10" s="891" t="s">
        <v>543</v>
      </c>
      <c r="W10" s="891" t="s">
        <v>544</v>
      </c>
      <c r="X10" s="1084"/>
      <c r="Y10" s="891" t="s">
        <v>213</v>
      </c>
      <c r="Z10" s="891" t="s">
        <v>214</v>
      </c>
      <c r="AA10" s="891" t="s">
        <v>215</v>
      </c>
      <c r="AB10" s="891" t="s">
        <v>540</v>
      </c>
      <c r="AC10" s="891" t="s">
        <v>541</v>
      </c>
      <c r="AD10" s="891" t="s">
        <v>542</v>
      </c>
      <c r="AE10" s="891" t="s">
        <v>543</v>
      </c>
      <c r="AF10" s="891" t="s">
        <v>544</v>
      </c>
      <c r="AG10" s="1084"/>
      <c r="AH10" s="891" t="s">
        <v>213</v>
      </c>
      <c r="AI10" s="891" t="s">
        <v>214</v>
      </c>
      <c r="AJ10" s="891" t="s">
        <v>215</v>
      </c>
      <c r="AK10" s="891" t="s">
        <v>540</v>
      </c>
      <c r="AL10" s="891" t="s">
        <v>541</v>
      </c>
      <c r="AM10" s="891" t="s">
        <v>542</v>
      </c>
      <c r="AN10" s="891" t="s">
        <v>543</v>
      </c>
      <c r="AO10" s="891" t="s">
        <v>544</v>
      </c>
      <c r="AP10" s="1129"/>
      <c r="AQ10" s="1131"/>
    </row>
    <row r="11" spans="2:50" s="415" customFormat="1">
      <c r="B11" s="413"/>
      <c r="C11" s="413" t="s">
        <v>213</v>
      </c>
      <c r="D11" s="1115" t="s">
        <v>950</v>
      </c>
      <c r="E11" s="1116"/>
      <c r="F11" s="1116"/>
      <c r="G11" s="1116"/>
      <c r="H11" s="1116"/>
      <c r="I11" s="1116"/>
      <c r="J11" s="1116"/>
      <c r="K11" s="1116"/>
      <c r="L11" s="1116"/>
      <c r="M11" s="1116"/>
      <c r="N11" s="1116"/>
      <c r="O11" s="1116"/>
      <c r="P11" s="1116"/>
      <c r="Q11" s="1116"/>
      <c r="R11" s="1116"/>
      <c r="S11" s="1116"/>
      <c r="T11" s="1116"/>
      <c r="U11" s="1116"/>
      <c r="V11" s="1116"/>
      <c r="W11" s="1116"/>
      <c r="X11" s="1116" t="s">
        <v>950</v>
      </c>
      <c r="Y11" s="1116"/>
      <c r="Z11" s="1116"/>
      <c r="AA11" s="1116"/>
      <c r="AB11" s="1116"/>
      <c r="AC11" s="1116"/>
      <c r="AD11" s="1116"/>
      <c r="AE11" s="1116"/>
      <c r="AF11" s="1116"/>
      <c r="AG11" s="1116"/>
      <c r="AH11" s="1116"/>
      <c r="AI11" s="1116"/>
      <c r="AJ11" s="1116"/>
      <c r="AK11" s="1116"/>
      <c r="AL11" s="1116"/>
      <c r="AM11" s="1116"/>
      <c r="AN11" s="1116"/>
      <c r="AO11" s="1116"/>
      <c r="AP11" s="1116"/>
      <c r="AQ11" s="1121"/>
    </row>
    <row r="12" spans="2:50" s="415" customFormat="1">
      <c r="B12" s="413"/>
      <c r="C12" s="416" t="s">
        <v>162</v>
      </c>
      <c r="D12" s="1117"/>
      <c r="E12" s="1118"/>
      <c r="F12" s="1118"/>
      <c r="G12" s="1118"/>
      <c r="H12" s="1118"/>
      <c r="I12" s="1118"/>
      <c r="J12" s="1118"/>
      <c r="K12" s="1118"/>
      <c r="L12" s="1118"/>
      <c r="M12" s="1118"/>
      <c r="N12" s="1118"/>
      <c r="O12" s="1118"/>
      <c r="P12" s="1118"/>
      <c r="Q12" s="1118"/>
      <c r="R12" s="1118"/>
      <c r="S12" s="1118"/>
      <c r="T12" s="1118"/>
      <c r="U12" s="1118"/>
      <c r="V12" s="1118"/>
      <c r="W12" s="1118"/>
      <c r="X12" s="1118"/>
      <c r="Y12" s="1118"/>
      <c r="Z12" s="1118"/>
      <c r="AA12" s="1118"/>
      <c r="AB12" s="1118"/>
      <c r="AC12" s="1118"/>
      <c r="AD12" s="1118"/>
      <c r="AE12" s="1118"/>
      <c r="AF12" s="1118"/>
      <c r="AG12" s="1118"/>
      <c r="AH12" s="1118"/>
      <c r="AI12" s="1118"/>
      <c r="AJ12" s="1118"/>
      <c r="AK12" s="1118"/>
      <c r="AL12" s="1118"/>
      <c r="AM12" s="1118"/>
      <c r="AN12" s="1118"/>
      <c r="AO12" s="1118"/>
      <c r="AP12" s="1118"/>
      <c r="AQ12" s="1122"/>
    </row>
    <row r="13" spans="2:50" s="415" customFormat="1">
      <c r="B13" s="413"/>
      <c r="C13" s="417" t="s">
        <v>163</v>
      </c>
      <c r="D13" s="1117"/>
      <c r="E13" s="1118"/>
      <c r="F13" s="1118"/>
      <c r="G13" s="1118"/>
      <c r="H13" s="1118"/>
      <c r="I13" s="1118"/>
      <c r="J13" s="1118"/>
      <c r="K13" s="1118"/>
      <c r="L13" s="1118"/>
      <c r="M13" s="11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118"/>
      <c r="AL13" s="1118"/>
      <c r="AM13" s="1118"/>
      <c r="AN13" s="1118"/>
      <c r="AO13" s="1118"/>
      <c r="AP13" s="1118"/>
      <c r="AQ13" s="1122"/>
    </row>
    <row r="14" spans="2:50" s="415" customFormat="1">
      <c r="B14" s="413"/>
      <c r="C14" s="417" t="s">
        <v>164</v>
      </c>
      <c r="D14" s="1117"/>
      <c r="E14" s="1118"/>
      <c r="F14" s="1118"/>
      <c r="G14" s="1118"/>
      <c r="H14" s="1118"/>
      <c r="I14" s="1118"/>
      <c r="J14" s="1118"/>
      <c r="K14" s="1118"/>
      <c r="L14" s="1118"/>
      <c r="M14" s="11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118"/>
      <c r="AL14" s="1118"/>
      <c r="AM14" s="1118"/>
      <c r="AN14" s="1118"/>
      <c r="AO14" s="1118"/>
      <c r="AP14" s="1118"/>
      <c r="AQ14" s="1122"/>
    </row>
    <row r="15" spans="2:50" s="415" customFormat="1">
      <c r="B15" s="413"/>
      <c r="C15" s="413" t="s">
        <v>165</v>
      </c>
      <c r="D15" s="1117"/>
      <c r="E15" s="1118"/>
      <c r="F15" s="1118"/>
      <c r="G15" s="1118"/>
      <c r="H15" s="1118"/>
      <c r="I15" s="1118"/>
      <c r="J15" s="1118"/>
      <c r="K15" s="1118"/>
      <c r="L15" s="1118"/>
      <c r="M15" s="11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118"/>
      <c r="AL15" s="1118"/>
      <c r="AM15" s="1118"/>
      <c r="AN15" s="1118"/>
      <c r="AO15" s="1118"/>
      <c r="AP15" s="1118"/>
      <c r="AQ15" s="1122"/>
    </row>
    <row r="16" spans="2:50" s="415" customFormat="1">
      <c r="B16" s="413"/>
      <c r="C16" s="414"/>
      <c r="D16" s="1117"/>
      <c r="E16" s="1118"/>
      <c r="F16" s="1118"/>
      <c r="G16" s="1118"/>
      <c r="H16" s="1118"/>
      <c r="I16" s="1118"/>
      <c r="J16" s="1118"/>
      <c r="K16" s="1118"/>
      <c r="L16" s="1118"/>
      <c r="M16" s="1118"/>
      <c r="N16" s="1118"/>
      <c r="O16" s="1118"/>
      <c r="P16" s="1118"/>
      <c r="Q16" s="1118"/>
      <c r="R16" s="1118"/>
      <c r="S16" s="1118"/>
      <c r="T16" s="1118"/>
      <c r="U16" s="1118"/>
      <c r="V16" s="1118"/>
      <c r="W16" s="1118"/>
      <c r="X16" s="1118"/>
      <c r="Y16" s="1118"/>
      <c r="Z16" s="1118"/>
      <c r="AA16" s="1118"/>
      <c r="AB16" s="1118"/>
      <c r="AC16" s="1118"/>
      <c r="AD16" s="1118"/>
      <c r="AE16" s="1118"/>
      <c r="AF16" s="1118"/>
      <c r="AG16" s="1118"/>
      <c r="AH16" s="1118"/>
      <c r="AI16" s="1118"/>
      <c r="AJ16" s="1118"/>
      <c r="AK16" s="1118"/>
      <c r="AL16" s="1118"/>
      <c r="AM16" s="1118"/>
      <c r="AN16" s="1118"/>
      <c r="AO16" s="1118"/>
      <c r="AP16" s="1118"/>
      <c r="AQ16" s="1122"/>
    </row>
    <row r="17" spans="2:43" s="415" customFormat="1">
      <c r="B17" s="413"/>
      <c r="C17" s="413" t="s">
        <v>214</v>
      </c>
      <c r="D17" s="1117"/>
      <c r="E17" s="1118"/>
      <c r="F17" s="1118"/>
      <c r="G17" s="1118"/>
      <c r="H17" s="1118"/>
      <c r="I17" s="1118"/>
      <c r="J17" s="1118"/>
      <c r="K17" s="1118"/>
      <c r="L17" s="1118"/>
      <c r="M17" s="1118"/>
      <c r="N17" s="1118"/>
      <c r="O17" s="1118"/>
      <c r="P17" s="1118"/>
      <c r="Q17" s="1118"/>
      <c r="R17" s="1118"/>
      <c r="S17" s="1118"/>
      <c r="T17" s="1118"/>
      <c r="U17" s="1118"/>
      <c r="V17" s="1118"/>
      <c r="W17" s="1118"/>
      <c r="X17" s="1118"/>
      <c r="Y17" s="1118"/>
      <c r="Z17" s="1118"/>
      <c r="AA17" s="1118"/>
      <c r="AB17" s="1118"/>
      <c r="AC17" s="1118"/>
      <c r="AD17" s="1118"/>
      <c r="AE17" s="1118"/>
      <c r="AF17" s="1118"/>
      <c r="AG17" s="1118"/>
      <c r="AH17" s="1118"/>
      <c r="AI17" s="1118"/>
      <c r="AJ17" s="1118"/>
      <c r="AK17" s="1118"/>
      <c r="AL17" s="1118"/>
      <c r="AM17" s="1118"/>
      <c r="AN17" s="1118"/>
      <c r="AO17" s="1118"/>
      <c r="AP17" s="1118"/>
      <c r="AQ17" s="1122"/>
    </row>
    <row r="18" spans="2:43" s="415" customFormat="1">
      <c r="B18" s="413"/>
      <c r="C18" s="416" t="s">
        <v>162</v>
      </c>
      <c r="D18" s="1117"/>
      <c r="E18" s="1118"/>
      <c r="F18" s="1118"/>
      <c r="G18" s="1118"/>
      <c r="H18" s="1118"/>
      <c r="I18" s="1118"/>
      <c r="J18" s="1118"/>
      <c r="K18" s="1118"/>
      <c r="L18" s="1118"/>
      <c r="M18" s="1118"/>
      <c r="N18" s="1118"/>
      <c r="O18" s="1118"/>
      <c r="P18" s="1118"/>
      <c r="Q18" s="1118"/>
      <c r="R18" s="1118"/>
      <c r="S18" s="1118"/>
      <c r="T18" s="1118"/>
      <c r="U18" s="1118"/>
      <c r="V18" s="1118"/>
      <c r="W18" s="1118"/>
      <c r="X18" s="1118"/>
      <c r="Y18" s="1118"/>
      <c r="Z18" s="1118"/>
      <c r="AA18" s="1118"/>
      <c r="AB18" s="1118"/>
      <c r="AC18" s="1118"/>
      <c r="AD18" s="1118"/>
      <c r="AE18" s="1118"/>
      <c r="AF18" s="1118"/>
      <c r="AG18" s="1118"/>
      <c r="AH18" s="1118"/>
      <c r="AI18" s="1118"/>
      <c r="AJ18" s="1118"/>
      <c r="AK18" s="1118"/>
      <c r="AL18" s="1118"/>
      <c r="AM18" s="1118"/>
      <c r="AN18" s="1118"/>
      <c r="AO18" s="1118"/>
      <c r="AP18" s="1118"/>
      <c r="AQ18" s="1122"/>
    </row>
    <row r="19" spans="2:43" s="415" customFormat="1">
      <c r="B19" s="413"/>
      <c r="C19" s="417" t="s">
        <v>163</v>
      </c>
      <c r="D19" s="1117"/>
      <c r="E19" s="1118"/>
      <c r="F19" s="1118"/>
      <c r="G19" s="1118"/>
      <c r="H19" s="1118"/>
      <c r="I19" s="1118"/>
      <c r="J19" s="1118"/>
      <c r="K19" s="1118"/>
      <c r="L19" s="1118"/>
      <c r="M19" s="1118"/>
      <c r="N19" s="1118"/>
      <c r="O19" s="1118"/>
      <c r="P19" s="1118"/>
      <c r="Q19" s="1118"/>
      <c r="R19" s="1118"/>
      <c r="S19" s="1118"/>
      <c r="T19" s="1118"/>
      <c r="U19" s="1118"/>
      <c r="V19" s="1118"/>
      <c r="W19" s="1118"/>
      <c r="X19" s="1118"/>
      <c r="Y19" s="1118"/>
      <c r="Z19" s="1118"/>
      <c r="AA19" s="1118"/>
      <c r="AB19" s="1118"/>
      <c r="AC19" s="1118"/>
      <c r="AD19" s="1118"/>
      <c r="AE19" s="1118"/>
      <c r="AF19" s="1118"/>
      <c r="AG19" s="1118"/>
      <c r="AH19" s="1118"/>
      <c r="AI19" s="1118"/>
      <c r="AJ19" s="1118"/>
      <c r="AK19" s="1118"/>
      <c r="AL19" s="1118"/>
      <c r="AM19" s="1118"/>
      <c r="AN19" s="1118"/>
      <c r="AO19" s="1118"/>
      <c r="AP19" s="1118"/>
      <c r="AQ19" s="1122"/>
    </row>
    <row r="20" spans="2:43" s="415" customFormat="1">
      <c r="B20" s="413"/>
      <c r="C20" s="417" t="s">
        <v>164</v>
      </c>
      <c r="D20" s="1117"/>
      <c r="E20" s="1118"/>
      <c r="F20" s="1118"/>
      <c r="G20" s="1118"/>
      <c r="H20" s="1118"/>
      <c r="I20" s="1118"/>
      <c r="J20" s="1118"/>
      <c r="K20" s="1118"/>
      <c r="L20" s="1118"/>
      <c r="M20" s="1118"/>
      <c r="N20" s="1118"/>
      <c r="O20" s="1118"/>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118"/>
      <c r="AK20" s="1118"/>
      <c r="AL20" s="1118"/>
      <c r="AM20" s="1118"/>
      <c r="AN20" s="1118"/>
      <c r="AO20" s="1118"/>
      <c r="AP20" s="1118"/>
      <c r="AQ20" s="1122"/>
    </row>
    <row r="21" spans="2:43" s="415" customFormat="1">
      <c r="B21" s="413"/>
      <c r="C21" s="413" t="s">
        <v>165</v>
      </c>
      <c r="D21" s="1117"/>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c r="AA21" s="1118"/>
      <c r="AB21" s="1118"/>
      <c r="AC21" s="1118"/>
      <c r="AD21" s="1118"/>
      <c r="AE21" s="1118"/>
      <c r="AF21" s="1118"/>
      <c r="AG21" s="1118"/>
      <c r="AH21" s="1118"/>
      <c r="AI21" s="1118"/>
      <c r="AJ21" s="1118"/>
      <c r="AK21" s="1118"/>
      <c r="AL21" s="1118"/>
      <c r="AM21" s="1118"/>
      <c r="AN21" s="1118"/>
      <c r="AO21" s="1118"/>
      <c r="AP21" s="1118"/>
      <c r="AQ21" s="1122"/>
    </row>
    <row r="22" spans="2:43" s="415" customFormat="1">
      <c r="B22" s="413"/>
      <c r="C22" s="414"/>
      <c r="D22" s="1117"/>
      <c r="E22" s="1118"/>
      <c r="F22" s="1118"/>
      <c r="G22" s="1118"/>
      <c r="H22" s="1118"/>
      <c r="I22" s="1118"/>
      <c r="J22" s="1118"/>
      <c r="K22" s="1118"/>
      <c r="L22" s="1118"/>
      <c r="M22" s="1118"/>
      <c r="N22" s="1118"/>
      <c r="O22" s="1118"/>
      <c r="P22" s="1118"/>
      <c r="Q22" s="1118"/>
      <c r="R22" s="1118"/>
      <c r="S22" s="1118"/>
      <c r="T22" s="1118"/>
      <c r="U22" s="1118"/>
      <c r="V22" s="1118"/>
      <c r="W22" s="1118"/>
      <c r="X22" s="1118"/>
      <c r="Y22" s="1118"/>
      <c r="Z22" s="1118"/>
      <c r="AA22" s="1118"/>
      <c r="AB22" s="1118"/>
      <c r="AC22" s="1118"/>
      <c r="AD22" s="1118"/>
      <c r="AE22" s="1118"/>
      <c r="AF22" s="1118"/>
      <c r="AG22" s="1118"/>
      <c r="AH22" s="1118"/>
      <c r="AI22" s="1118"/>
      <c r="AJ22" s="1118"/>
      <c r="AK22" s="1118"/>
      <c r="AL22" s="1118"/>
      <c r="AM22" s="1118"/>
      <c r="AN22" s="1118"/>
      <c r="AO22" s="1118"/>
      <c r="AP22" s="1118"/>
      <c r="AQ22" s="1122"/>
    </row>
    <row r="23" spans="2:43" s="415" customFormat="1">
      <c r="B23" s="413"/>
      <c r="C23" s="413" t="s">
        <v>215</v>
      </c>
      <c r="D23" s="1117"/>
      <c r="E23" s="1118"/>
      <c r="F23" s="1118"/>
      <c r="G23" s="1118"/>
      <c r="H23" s="1118"/>
      <c r="I23" s="1118"/>
      <c r="J23" s="1118"/>
      <c r="K23" s="1118"/>
      <c r="L23" s="1118"/>
      <c r="M23" s="1118"/>
      <c r="N23" s="1118"/>
      <c r="O23" s="1118"/>
      <c r="P23" s="1118"/>
      <c r="Q23" s="1118"/>
      <c r="R23" s="1118"/>
      <c r="S23" s="1118"/>
      <c r="T23" s="1118"/>
      <c r="U23" s="1118"/>
      <c r="V23" s="1118"/>
      <c r="W23" s="1118"/>
      <c r="X23" s="1118"/>
      <c r="Y23" s="1118"/>
      <c r="Z23" s="1118"/>
      <c r="AA23" s="1118"/>
      <c r="AB23" s="1118"/>
      <c r="AC23" s="1118"/>
      <c r="AD23" s="1118"/>
      <c r="AE23" s="1118"/>
      <c r="AF23" s="1118"/>
      <c r="AG23" s="1118"/>
      <c r="AH23" s="1118"/>
      <c r="AI23" s="1118"/>
      <c r="AJ23" s="1118"/>
      <c r="AK23" s="1118"/>
      <c r="AL23" s="1118"/>
      <c r="AM23" s="1118"/>
      <c r="AN23" s="1118"/>
      <c r="AO23" s="1118"/>
      <c r="AP23" s="1118"/>
      <c r="AQ23" s="1122"/>
    </row>
    <row r="24" spans="2:43" s="415" customFormat="1">
      <c r="B24" s="413"/>
      <c r="C24" s="416" t="s">
        <v>162</v>
      </c>
      <c r="D24" s="1117"/>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22"/>
    </row>
    <row r="25" spans="2:43" s="415" customFormat="1">
      <c r="B25" s="413"/>
      <c r="C25" s="417" t="s">
        <v>163</v>
      </c>
      <c r="D25" s="1117"/>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22"/>
    </row>
    <row r="26" spans="2:43" s="415" customFormat="1">
      <c r="B26" s="413"/>
      <c r="C26" s="417" t="s">
        <v>164</v>
      </c>
      <c r="D26" s="1117"/>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22"/>
    </row>
    <row r="27" spans="2:43" s="415" customFormat="1">
      <c r="B27" s="413"/>
      <c r="C27" s="413" t="s">
        <v>165</v>
      </c>
      <c r="D27" s="1117"/>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1118"/>
      <c r="AL27" s="1118"/>
      <c r="AM27" s="1118"/>
      <c r="AN27" s="1118"/>
      <c r="AO27" s="1118"/>
      <c r="AP27" s="1118"/>
      <c r="AQ27" s="1122"/>
    </row>
    <row r="28" spans="2:43" s="415" customFormat="1">
      <c r="B28" s="413"/>
      <c r="C28" s="414"/>
      <c r="D28" s="1117"/>
      <c r="E28" s="1118"/>
      <c r="F28" s="1118"/>
      <c r="G28" s="1118"/>
      <c r="H28" s="1118"/>
      <c r="I28" s="1118"/>
      <c r="J28" s="1118"/>
      <c r="K28" s="1118"/>
      <c r="L28" s="1118"/>
      <c r="M28" s="1118"/>
      <c r="N28" s="1118"/>
      <c r="O28" s="1118"/>
      <c r="P28" s="1118"/>
      <c r="Q28" s="1118"/>
      <c r="R28" s="1118"/>
      <c r="S28" s="1118"/>
      <c r="T28" s="1118"/>
      <c r="U28" s="1118"/>
      <c r="V28" s="1118"/>
      <c r="W28" s="1118"/>
      <c r="X28" s="1118"/>
      <c r="Y28" s="1118"/>
      <c r="Z28" s="1118"/>
      <c r="AA28" s="1118"/>
      <c r="AB28" s="1118"/>
      <c r="AC28" s="1118"/>
      <c r="AD28" s="1118"/>
      <c r="AE28" s="1118"/>
      <c r="AF28" s="1118"/>
      <c r="AG28" s="1118"/>
      <c r="AH28" s="1118"/>
      <c r="AI28" s="1118"/>
      <c r="AJ28" s="1118"/>
      <c r="AK28" s="1118"/>
      <c r="AL28" s="1118"/>
      <c r="AM28" s="1118"/>
      <c r="AN28" s="1118"/>
      <c r="AO28" s="1118"/>
      <c r="AP28" s="1118"/>
      <c r="AQ28" s="1122"/>
    </row>
    <row r="29" spans="2:43" s="415" customFormat="1">
      <c r="B29" s="413"/>
      <c r="C29" s="413" t="s">
        <v>540</v>
      </c>
      <c r="D29" s="1117"/>
      <c r="E29" s="1118"/>
      <c r="F29" s="1118"/>
      <c r="G29" s="1118"/>
      <c r="H29" s="1118"/>
      <c r="I29" s="1118"/>
      <c r="J29" s="1118"/>
      <c r="K29" s="1118"/>
      <c r="L29" s="1118"/>
      <c r="M29" s="1118"/>
      <c r="N29" s="1118"/>
      <c r="O29" s="1118"/>
      <c r="P29" s="1118"/>
      <c r="Q29" s="1118"/>
      <c r="R29" s="1118"/>
      <c r="S29" s="1118"/>
      <c r="T29" s="1118"/>
      <c r="U29" s="1118"/>
      <c r="V29" s="1118"/>
      <c r="W29" s="1118"/>
      <c r="X29" s="1118"/>
      <c r="Y29" s="1118"/>
      <c r="Z29" s="1118"/>
      <c r="AA29" s="1118"/>
      <c r="AB29" s="1118"/>
      <c r="AC29" s="1118"/>
      <c r="AD29" s="1118"/>
      <c r="AE29" s="1118"/>
      <c r="AF29" s="1118"/>
      <c r="AG29" s="1118"/>
      <c r="AH29" s="1118"/>
      <c r="AI29" s="1118"/>
      <c r="AJ29" s="1118"/>
      <c r="AK29" s="1118"/>
      <c r="AL29" s="1118"/>
      <c r="AM29" s="1118"/>
      <c r="AN29" s="1118"/>
      <c r="AO29" s="1118"/>
      <c r="AP29" s="1118"/>
      <c r="AQ29" s="1122"/>
    </row>
    <row r="30" spans="2:43" s="415" customFormat="1">
      <c r="B30" s="413"/>
      <c r="C30" s="416" t="s">
        <v>162</v>
      </c>
      <c r="D30" s="1117"/>
      <c r="E30" s="1118"/>
      <c r="F30" s="1118"/>
      <c r="G30" s="1118"/>
      <c r="H30" s="1118"/>
      <c r="I30" s="1118"/>
      <c r="J30" s="1118"/>
      <c r="K30" s="1118"/>
      <c r="L30" s="1118"/>
      <c r="M30" s="1118"/>
      <c r="N30" s="1118"/>
      <c r="O30" s="1118"/>
      <c r="P30" s="1118"/>
      <c r="Q30" s="1118"/>
      <c r="R30" s="1118"/>
      <c r="S30" s="1118"/>
      <c r="T30" s="1118"/>
      <c r="U30" s="1118"/>
      <c r="V30" s="1118"/>
      <c r="W30" s="1118"/>
      <c r="X30" s="1118"/>
      <c r="Y30" s="1118"/>
      <c r="Z30" s="1118"/>
      <c r="AA30" s="1118"/>
      <c r="AB30" s="1118"/>
      <c r="AC30" s="1118"/>
      <c r="AD30" s="1118"/>
      <c r="AE30" s="1118"/>
      <c r="AF30" s="1118"/>
      <c r="AG30" s="1118"/>
      <c r="AH30" s="1118"/>
      <c r="AI30" s="1118"/>
      <c r="AJ30" s="1118"/>
      <c r="AK30" s="1118"/>
      <c r="AL30" s="1118"/>
      <c r="AM30" s="1118"/>
      <c r="AN30" s="1118"/>
      <c r="AO30" s="1118"/>
      <c r="AP30" s="1118"/>
      <c r="AQ30" s="1122"/>
    </row>
    <row r="31" spans="2:43" s="415" customFormat="1">
      <c r="B31" s="413"/>
      <c r="C31" s="417" t="s">
        <v>163</v>
      </c>
      <c r="D31" s="1117"/>
      <c r="E31" s="1118"/>
      <c r="F31" s="1118"/>
      <c r="G31" s="1118"/>
      <c r="H31" s="1118"/>
      <c r="I31" s="1118"/>
      <c r="J31" s="1118"/>
      <c r="K31" s="1118"/>
      <c r="L31" s="1118"/>
      <c r="M31" s="1118"/>
      <c r="N31" s="1118"/>
      <c r="O31" s="1118"/>
      <c r="P31" s="1118"/>
      <c r="Q31" s="1118"/>
      <c r="R31" s="1118"/>
      <c r="S31" s="1118"/>
      <c r="T31" s="1118"/>
      <c r="U31" s="1118"/>
      <c r="V31" s="1118"/>
      <c r="W31" s="1118"/>
      <c r="X31" s="1118"/>
      <c r="Y31" s="1118"/>
      <c r="Z31" s="1118"/>
      <c r="AA31" s="1118"/>
      <c r="AB31" s="1118"/>
      <c r="AC31" s="1118"/>
      <c r="AD31" s="1118"/>
      <c r="AE31" s="1118"/>
      <c r="AF31" s="1118"/>
      <c r="AG31" s="1118"/>
      <c r="AH31" s="1118"/>
      <c r="AI31" s="1118"/>
      <c r="AJ31" s="1118"/>
      <c r="AK31" s="1118"/>
      <c r="AL31" s="1118"/>
      <c r="AM31" s="1118"/>
      <c r="AN31" s="1118"/>
      <c r="AO31" s="1118"/>
      <c r="AP31" s="1118"/>
      <c r="AQ31" s="1122"/>
    </row>
    <row r="32" spans="2:43" s="415" customFormat="1">
      <c r="B32" s="413"/>
      <c r="C32" s="417" t="s">
        <v>164</v>
      </c>
      <c r="D32" s="1117"/>
      <c r="E32" s="1118"/>
      <c r="F32" s="1118"/>
      <c r="G32" s="1118"/>
      <c r="H32" s="1118"/>
      <c r="I32" s="1118"/>
      <c r="J32" s="1118"/>
      <c r="K32" s="1118"/>
      <c r="L32" s="1118"/>
      <c r="M32" s="1118"/>
      <c r="N32" s="1118"/>
      <c r="O32" s="1118"/>
      <c r="P32" s="1118"/>
      <c r="Q32" s="1118"/>
      <c r="R32" s="1118"/>
      <c r="S32" s="1118"/>
      <c r="T32" s="1118"/>
      <c r="U32" s="1118"/>
      <c r="V32" s="1118"/>
      <c r="W32" s="1118"/>
      <c r="X32" s="1118"/>
      <c r="Y32" s="1118"/>
      <c r="Z32" s="1118"/>
      <c r="AA32" s="1118"/>
      <c r="AB32" s="1118"/>
      <c r="AC32" s="1118"/>
      <c r="AD32" s="1118"/>
      <c r="AE32" s="1118"/>
      <c r="AF32" s="1118"/>
      <c r="AG32" s="1118"/>
      <c r="AH32" s="1118"/>
      <c r="AI32" s="1118"/>
      <c r="AJ32" s="1118"/>
      <c r="AK32" s="1118"/>
      <c r="AL32" s="1118"/>
      <c r="AM32" s="1118"/>
      <c r="AN32" s="1118"/>
      <c r="AO32" s="1118"/>
      <c r="AP32" s="1118"/>
      <c r="AQ32" s="1122"/>
    </row>
    <row r="33" spans="2:43" s="415" customFormat="1">
      <c r="B33" s="413"/>
      <c r="C33" s="413" t="s">
        <v>165</v>
      </c>
      <c r="D33" s="1117"/>
      <c r="E33" s="1118"/>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8"/>
      <c r="AK33" s="1118"/>
      <c r="AL33" s="1118"/>
      <c r="AM33" s="1118"/>
      <c r="AN33" s="1118"/>
      <c r="AO33" s="1118"/>
      <c r="AP33" s="1118"/>
      <c r="AQ33" s="1122"/>
    </row>
    <row r="34" spans="2:43" s="415" customFormat="1">
      <c r="B34" s="413"/>
      <c r="C34" s="418"/>
      <c r="D34" s="1117"/>
      <c r="E34" s="1118"/>
      <c r="F34" s="1118"/>
      <c r="G34" s="1118"/>
      <c r="H34" s="1118"/>
      <c r="I34" s="1118"/>
      <c r="J34" s="1118"/>
      <c r="K34" s="1118"/>
      <c r="L34" s="1118"/>
      <c r="M34" s="1118"/>
      <c r="N34" s="1118"/>
      <c r="O34" s="1118"/>
      <c r="P34" s="1118"/>
      <c r="Q34" s="1118"/>
      <c r="R34" s="1118"/>
      <c r="S34" s="1118"/>
      <c r="T34" s="1118"/>
      <c r="U34" s="1118"/>
      <c r="V34" s="1118"/>
      <c r="W34" s="1118"/>
      <c r="X34" s="1118"/>
      <c r="Y34" s="1118"/>
      <c r="Z34" s="1118"/>
      <c r="AA34" s="1118"/>
      <c r="AB34" s="1118"/>
      <c r="AC34" s="1118"/>
      <c r="AD34" s="1118"/>
      <c r="AE34" s="1118"/>
      <c r="AF34" s="1118"/>
      <c r="AG34" s="1118"/>
      <c r="AH34" s="1118"/>
      <c r="AI34" s="1118"/>
      <c r="AJ34" s="1118"/>
      <c r="AK34" s="1118"/>
      <c r="AL34" s="1118"/>
      <c r="AM34" s="1118"/>
      <c r="AN34" s="1118"/>
      <c r="AO34" s="1118"/>
      <c r="AP34" s="1118"/>
      <c r="AQ34" s="1122"/>
    </row>
    <row r="35" spans="2:43" s="415" customFormat="1">
      <c r="B35" s="413"/>
      <c r="C35" s="416" t="s">
        <v>541</v>
      </c>
      <c r="D35" s="1117"/>
      <c r="E35" s="1118"/>
      <c r="F35" s="1118"/>
      <c r="G35" s="1118"/>
      <c r="H35" s="1118"/>
      <c r="I35" s="1118"/>
      <c r="J35" s="1118"/>
      <c r="K35" s="1118"/>
      <c r="L35" s="1118"/>
      <c r="M35" s="1118"/>
      <c r="N35" s="1118"/>
      <c r="O35" s="1118"/>
      <c r="P35" s="1118"/>
      <c r="Q35" s="1118"/>
      <c r="R35" s="1118"/>
      <c r="S35" s="1118"/>
      <c r="T35" s="1118"/>
      <c r="U35" s="1118"/>
      <c r="V35" s="1118"/>
      <c r="W35" s="1118"/>
      <c r="X35" s="1118"/>
      <c r="Y35" s="1118"/>
      <c r="Z35" s="1118"/>
      <c r="AA35" s="1118"/>
      <c r="AB35" s="1118"/>
      <c r="AC35" s="1118"/>
      <c r="AD35" s="1118"/>
      <c r="AE35" s="1118"/>
      <c r="AF35" s="1118"/>
      <c r="AG35" s="1118"/>
      <c r="AH35" s="1118"/>
      <c r="AI35" s="1118"/>
      <c r="AJ35" s="1118"/>
      <c r="AK35" s="1118"/>
      <c r="AL35" s="1118"/>
      <c r="AM35" s="1118"/>
      <c r="AN35" s="1118"/>
      <c r="AO35" s="1118"/>
      <c r="AP35" s="1118"/>
      <c r="AQ35" s="1122"/>
    </row>
    <row r="36" spans="2:43" s="415" customFormat="1">
      <c r="B36" s="413"/>
      <c r="C36" s="416" t="s">
        <v>162</v>
      </c>
      <c r="D36" s="1117"/>
      <c r="E36" s="1118"/>
      <c r="F36" s="1118"/>
      <c r="G36" s="1118"/>
      <c r="H36" s="1118"/>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118"/>
      <c r="AE36" s="1118"/>
      <c r="AF36" s="1118"/>
      <c r="AG36" s="1118"/>
      <c r="AH36" s="1118"/>
      <c r="AI36" s="1118"/>
      <c r="AJ36" s="1118"/>
      <c r="AK36" s="1118"/>
      <c r="AL36" s="1118"/>
      <c r="AM36" s="1118"/>
      <c r="AN36" s="1118"/>
      <c r="AO36" s="1118"/>
      <c r="AP36" s="1118"/>
      <c r="AQ36" s="1122"/>
    </row>
    <row r="37" spans="2:43" s="415" customFormat="1">
      <c r="B37" s="413"/>
      <c r="C37" s="417" t="s">
        <v>163</v>
      </c>
      <c r="D37" s="1117"/>
      <c r="E37" s="1118"/>
      <c r="F37" s="1118"/>
      <c r="G37" s="1118"/>
      <c r="H37" s="1118"/>
      <c r="I37" s="1118"/>
      <c r="J37" s="1118"/>
      <c r="K37" s="1118"/>
      <c r="L37" s="1118"/>
      <c r="M37" s="1118"/>
      <c r="N37" s="1118"/>
      <c r="O37" s="1118"/>
      <c r="P37" s="1118"/>
      <c r="Q37" s="1118"/>
      <c r="R37" s="1118"/>
      <c r="S37" s="1118"/>
      <c r="T37" s="1118"/>
      <c r="U37" s="1118"/>
      <c r="V37" s="1118"/>
      <c r="W37" s="1118"/>
      <c r="X37" s="1118"/>
      <c r="Y37" s="1118"/>
      <c r="Z37" s="1118"/>
      <c r="AA37" s="1118"/>
      <c r="AB37" s="1118"/>
      <c r="AC37" s="1118"/>
      <c r="AD37" s="1118"/>
      <c r="AE37" s="1118"/>
      <c r="AF37" s="1118"/>
      <c r="AG37" s="1118"/>
      <c r="AH37" s="1118"/>
      <c r="AI37" s="1118"/>
      <c r="AJ37" s="1118"/>
      <c r="AK37" s="1118"/>
      <c r="AL37" s="1118"/>
      <c r="AM37" s="1118"/>
      <c r="AN37" s="1118"/>
      <c r="AO37" s="1118"/>
      <c r="AP37" s="1118"/>
      <c r="AQ37" s="1122"/>
    </row>
    <row r="38" spans="2:43" s="415" customFormat="1">
      <c r="B38" s="413"/>
      <c r="C38" s="417" t="s">
        <v>164</v>
      </c>
      <c r="D38" s="1117"/>
      <c r="E38" s="1118"/>
      <c r="F38" s="1118"/>
      <c r="G38" s="1118"/>
      <c r="H38" s="1118"/>
      <c r="I38" s="1118"/>
      <c r="J38" s="1118"/>
      <c r="K38" s="1118"/>
      <c r="L38" s="1118"/>
      <c r="M38" s="1118"/>
      <c r="N38" s="1118"/>
      <c r="O38" s="1118"/>
      <c r="P38" s="1118"/>
      <c r="Q38" s="1118"/>
      <c r="R38" s="1118"/>
      <c r="S38" s="1118"/>
      <c r="T38" s="1118"/>
      <c r="U38" s="1118"/>
      <c r="V38" s="1118"/>
      <c r="W38" s="1118"/>
      <c r="X38" s="1118"/>
      <c r="Y38" s="1118"/>
      <c r="Z38" s="1118"/>
      <c r="AA38" s="1118"/>
      <c r="AB38" s="1118"/>
      <c r="AC38" s="1118"/>
      <c r="AD38" s="1118"/>
      <c r="AE38" s="1118"/>
      <c r="AF38" s="1118"/>
      <c r="AG38" s="1118"/>
      <c r="AH38" s="1118"/>
      <c r="AI38" s="1118"/>
      <c r="AJ38" s="1118"/>
      <c r="AK38" s="1118"/>
      <c r="AL38" s="1118"/>
      <c r="AM38" s="1118"/>
      <c r="AN38" s="1118"/>
      <c r="AO38" s="1118"/>
      <c r="AP38" s="1118"/>
      <c r="AQ38" s="1122"/>
    </row>
    <row r="39" spans="2:43" s="415" customFormat="1">
      <c r="B39" s="413"/>
      <c r="C39" s="413" t="s">
        <v>165</v>
      </c>
      <c r="D39" s="1117"/>
      <c r="E39" s="1118"/>
      <c r="F39" s="1118"/>
      <c r="G39" s="1118"/>
      <c r="H39" s="1118"/>
      <c r="I39" s="1118"/>
      <c r="J39" s="1118"/>
      <c r="K39" s="1118"/>
      <c r="L39" s="1118"/>
      <c r="M39" s="1118"/>
      <c r="N39" s="1118"/>
      <c r="O39" s="1118"/>
      <c r="P39" s="1118"/>
      <c r="Q39" s="1118"/>
      <c r="R39" s="1118"/>
      <c r="S39" s="1118"/>
      <c r="T39" s="1118"/>
      <c r="U39" s="1118"/>
      <c r="V39" s="1118"/>
      <c r="W39" s="1118"/>
      <c r="X39" s="1118"/>
      <c r="Y39" s="1118"/>
      <c r="Z39" s="1118"/>
      <c r="AA39" s="1118"/>
      <c r="AB39" s="1118"/>
      <c r="AC39" s="1118"/>
      <c r="AD39" s="1118"/>
      <c r="AE39" s="1118"/>
      <c r="AF39" s="1118"/>
      <c r="AG39" s="1118"/>
      <c r="AH39" s="1118"/>
      <c r="AI39" s="1118"/>
      <c r="AJ39" s="1118"/>
      <c r="AK39" s="1118"/>
      <c r="AL39" s="1118"/>
      <c r="AM39" s="1118"/>
      <c r="AN39" s="1118"/>
      <c r="AO39" s="1118"/>
      <c r="AP39" s="1118"/>
      <c r="AQ39" s="1122"/>
    </row>
    <row r="40" spans="2:43" s="415" customFormat="1">
      <c r="B40" s="413"/>
      <c r="C40" s="418"/>
      <c r="D40" s="1117"/>
      <c r="E40" s="1118"/>
      <c r="F40" s="1118"/>
      <c r="G40" s="1118"/>
      <c r="H40" s="1118"/>
      <c r="I40" s="1118"/>
      <c r="J40" s="1118"/>
      <c r="K40" s="1118"/>
      <c r="L40" s="1118"/>
      <c r="M40" s="1118"/>
      <c r="N40" s="1118"/>
      <c r="O40" s="1118"/>
      <c r="P40" s="1118"/>
      <c r="Q40" s="1118"/>
      <c r="R40" s="1118"/>
      <c r="S40" s="1118"/>
      <c r="T40" s="1118"/>
      <c r="U40" s="1118"/>
      <c r="V40" s="1118"/>
      <c r="W40" s="1118"/>
      <c r="X40" s="1118"/>
      <c r="Y40" s="1118"/>
      <c r="Z40" s="1118"/>
      <c r="AA40" s="1118"/>
      <c r="AB40" s="1118"/>
      <c r="AC40" s="1118"/>
      <c r="AD40" s="1118"/>
      <c r="AE40" s="1118"/>
      <c r="AF40" s="1118"/>
      <c r="AG40" s="1118"/>
      <c r="AH40" s="1118"/>
      <c r="AI40" s="1118"/>
      <c r="AJ40" s="1118"/>
      <c r="AK40" s="1118"/>
      <c r="AL40" s="1118"/>
      <c r="AM40" s="1118"/>
      <c r="AN40" s="1118"/>
      <c r="AO40" s="1118"/>
      <c r="AP40" s="1118"/>
      <c r="AQ40" s="1122"/>
    </row>
    <row r="41" spans="2:43" s="415" customFormat="1">
      <c r="B41" s="413"/>
      <c r="C41" s="416" t="s">
        <v>542</v>
      </c>
      <c r="D41" s="1117"/>
      <c r="E41" s="1118"/>
      <c r="F41" s="1118"/>
      <c r="G41" s="1118"/>
      <c r="H41" s="1118"/>
      <c r="I41" s="1118"/>
      <c r="J41" s="1118"/>
      <c r="K41" s="1118"/>
      <c r="L41" s="1118"/>
      <c r="M41" s="1118"/>
      <c r="N41" s="1118"/>
      <c r="O41" s="1118"/>
      <c r="P41" s="1118"/>
      <c r="Q41" s="1118"/>
      <c r="R41" s="1118"/>
      <c r="S41" s="1118"/>
      <c r="T41" s="1118"/>
      <c r="U41" s="1118"/>
      <c r="V41" s="1118"/>
      <c r="W41" s="1118"/>
      <c r="X41" s="1118"/>
      <c r="Y41" s="1118"/>
      <c r="Z41" s="1118"/>
      <c r="AA41" s="1118"/>
      <c r="AB41" s="1118"/>
      <c r="AC41" s="1118"/>
      <c r="AD41" s="1118"/>
      <c r="AE41" s="1118"/>
      <c r="AF41" s="1118"/>
      <c r="AG41" s="1118"/>
      <c r="AH41" s="1118"/>
      <c r="AI41" s="1118"/>
      <c r="AJ41" s="1118"/>
      <c r="AK41" s="1118"/>
      <c r="AL41" s="1118"/>
      <c r="AM41" s="1118"/>
      <c r="AN41" s="1118"/>
      <c r="AO41" s="1118"/>
      <c r="AP41" s="1118"/>
      <c r="AQ41" s="1122"/>
    </row>
    <row r="42" spans="2:43" s="415" customFormat="1">
      <c r="B42" s="413"/>
      <c r="C42" s="416" t="s">
        <v>162</v>
      </c>
      <c r="D42" s="1117"/>
      <c r="E42" s="1118"/>
      <c r="F42" s="1118"/>
      <c r="G42" s="1118"/>
      <c r="H42" s="1118"/>
      <c r="I42" s="1118"/>
      <c r="J42" s="1118"/>
      <c r="K42" s="1118"/>
      <c r="L42" s="1118"/>
      <c r="M42" s="1118"/>
      <c r="N42" s="1118"/>
      <c r="O42" s="1118"/>
      <c r="P42" s="1118"/>
      <c r="Q42" s="1118"/>
      <c r="R42" s="1118"/>
      <c r="S42" s="1118"/>
      <c r="T42" s="1118"/>
      <c r="U42" s="1118"/>
      <c r="V42" s="1118"/>
      <c r="W42" s="1118"/>
      <c r="X42" s="1118"/>
      <c r="Y42" s="1118"/>
      <c r="Z42" s="1118"/>
      <c r="AA42" s="1118"/>
      <c r="AB42" s="1118"/>
      <c r="AC42" s="1118"/>
      <c r="AD42" s="1118"/>
      <c r="AE42" s="1118"/>
      <c r="AF42" s="1118"/>
      <c r="AG42" s="1118"/>
      <c r="AH42" s="1118"/>
      <c r="AI42" s="1118"/>
      <c r="AJ42" s="1118"/>
      <c r="AK42" s="1118"/>
      <c r="AL42" s="1118"/>
      <c r="AM42" s="1118"/>
      <c r="AN42" s="1118"/>
      <c r="AO42" s="1118"/>
      <c r="AP42" s="1118"/>
      <c r="AQ42" s="1122"/>
    </row>
    <row r="43" spans="2:43" s="415" customFormat="1">
      <c r="B43" s="413"/>
      <c r="C43" s="417" t="s">
        <v>163</v>
      </c>
      <c r="D43" s="1117"/>
      <c r="E43" s="1118"/>
      <c r="F43" s="1118"/>
      <c r="G43" s="1118"/>
      <c r="H43" s="1118"/>
      <c r="I43" s="1118"/>
      <c r="J43" s="1118"/>
      <c r="K43" s="1118"/>
      <c r="L43" s="1118"/>
      <c r="M43" s="1118"/>
      <c r="N43" s="1118"/>
      <c r="O43" s="1118"/>
      <c r="P43" s="1118"/>
      <c r="Q43" s="1118"/>
      <c r="R43" s="1118"/>
      <c r="S43" s="1118"/>
      <c r="T43" s="1118"/>
      <c r="U43" s="1118"/>
      <c r="V43" s="1118"/>
      <c r="W43" s="1118"/>
      <c r="X43" s="1118"/>
      <c r="Y43" s="1118"/>
      <c r="Z43" s="1118"/>
      <c r="AA43" s="1118"/>
      <c r="AB43" s="1118"/>
      <c r="AC43" s="1118"/>
      <c r="AD43" s="1118"/>
      <c r="AE43" s="1118"/>
      <c r="AF43" s="1118"/>
      <c r="AG43" s="1118"/>
      <c r="AH43" s="1118"/>
      <c r="AI43" s="1118"/>
      <c r="AJ43" s="1118"/>
      <c r="AK43" s="1118"/>
      <c r="AL43" s="1118"/>
      <c r="AM43" s="1118"/>
      <c r="AN43" s="1118"/>
      <c r="AO43" s="1118"/>
      <c r="AP43" s="1118"/>
      <c r="AQ43" s="1122"/>
    </row>
    <row r="44" spans="2:43" s="415" customFormat="1">
      <c r="B44" s="413"/>
      <c r="C44" s="417" t="s">
        <v>164</v>
      </c>
      <c r="D44" s="1117"/>
      <c r="E44" s="1118"/>
      <c r="F44" s="1118"/>
      <c r="G44" s="1118"/>
      <c r="H44" s="1118"/>
      <c r="I44" s="1118"/>
      <c r="J44" s="1118"/>
      <c r="K44" s="1118"/>
      <c r="L44" s="1118"/>
      <c r="M44" s="1118"/>
      <c r="N44" s="1118"/>
      <c r="O44" s="1118"/>
      <c r="P44" s="1118"/>
      <c r="Q44" s="1118"/>
      <c r="R44" s="1118"/>
      <c r="S44" s="1118"/>
      <c r="T44" s="1118"/>
      <c r="U44" s="1118"/>
      <c r="V44" s="1118"/>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22"/>
    </row>
    <row r="45" spans="2:43" s="415" customFormat="1">
      <c r="B45" s="413"/>
      <c r="C45" s="413" t="s">
        <v>165</v>
      </c>
      <c r="D45" s="1117"/>
      <c r="E45" s="1118"/>
      <c r="F45" s="1118"/>
      <c r="G45" s="1118"/>
      <c r="H45" s="1118"/>
      <c r="I45" s="1118"/>
      <c r="J45" s="1118"/>
      <c r="K45" s="1118"/>
      <c r="L45" s="1118"/>
      <c r="M45" s="1118"/>
      <c r="N45" s="1118"/>
      <c r="O45" s="1118"/>
      <c r="P45" s="1118"/>
      <c r="Q45" s="1118"/>
      <c r="R45" s="1118"/>
      <c r="S45" s="1118"/>
      <c r="T45" s="1118"/>
      <c r="U45" s="1118"/>
      <c r="V45" s="1118"/>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22"/>
    </row>
    <row r="46" spans="2:43" s="415" customFormat="1">
      <c r="B46" s="413"/>
      <c r="C46" s="418"/>
      <c r="D46" s="1117"/>
      <c r="E46" s="1118"/>
      <c r="F46" s="1118"/>
      <c r="G46" s="1118"/>
      <c r="H46" s="1118"/>
      <c r="I46" s="1118"/>
      <c r="J46" s="1118"/>
      <c r="K46" s="1118"/>
      <c r="L46" s="1118"/>
      <c r="M46" s="1118"/>
      <c r="N46" s="1118"/>
      <c r="O46" s="1118"/>
      <c r="P46" s="1118"/>
      <c r="Q46" s="1118"/>
      <c r="R46" s="1118"/>
      <c r="S46" s="1118"/>
      <c r="T46" s="1118"/>
      <c r="U46" s="1118"/>
      <c r="V46" s="1118"/>
      <c r="W46" s="1118"/>
      <c r="X46" s="1118"/>
      <c r="Y46" s="1118"/>
      <c r="Z46" s="1118"/>
      <c r="AA46" s="1118"/>
      <c r="AB46" s="1118"/>
      <c r="AC46" s="1118"/>
      <c r="AD46" s="1118"/>
      <c r="AE46" s="1118"/>
      <c r="AF46" s="1118"/>
      <c r="AG46" s="1118"/>
      <c r="AH46" s="1118"/>
      <c r="AI46" s="1118"/>
      <c r="AJ46" s="1118"/>
      <c r="AK46" s="1118"/>
      <c r="AL46" s="1118"/>
      <c r="AM46" s="1118"/>
      <c r="AN46" s="1118"/>
      <c r="AO46" s="1118"/>
      <c r="AP46" s="1118"/>
      <c r="AQ46" s="1122"/>
    </row>
    <row r="47" spans="2:43" s="415" customFormat="1">
      <c r="B47" s="413"/>
      <c r="C47" s="416" t="s">
        <v>543</v>
      </c>
      <c r="D47" s="1117"/>
      <c r="E47" s="1118"/>
      <c r="F47" s="1118"/>
      <c r="G47" s="1118"/>
      <c r="H47" s="1118"/>
      <c r="I47" s="1118"/>
      <c r="J47" s="1118"/>
      <c r="K47" s="1118"/>
      <c r="L47" s="1118"/>
      <c r="M47" s="1118"/>
      <c r="N47" s="1118"/>
      <c r="O47" s="1118"/>
      <c r="P47" s="1118"/>
      <c r="Q47" s="1118"/>
      <c r="R47" s="1118"/>
      <c r="S47" s="1118"/>
      <c r="T47" s="1118"/>
      <c r="U47" s="1118"/>
      <c r="V47" s="1118"/>
      <c r="W47" s="1118"/>
      <c r="X47" s="1118"/>
      <c r="Y47" s="1118"/>
      <c r="Z47" s="1118"/>
      <c r="AA47" s="1118"/>
      <c r="AB47" s="1118"/>
      <c r="AC47" s="1118"/>
      <c r="AD47" s="1118"/>
      <c r="AE47" s="1118"/>
      <c r="AF47" s="1118"/>
      <c r="AG47" s="1118"/>
      <c r="AH47" s="1118"/>
      <c r="AI47" s="1118"/>
      <c r="AJ47" s="1118"/>
      <c r="AK47" s="1118"/>
      <c r="AL47" s="1118"/>
      <c r="AM47" s="1118"/>
      <c r="AN47" s="1118"/>
      <c r="AO47" s="1118"/>
      <c r="AP47" s="1118"/>
      <c r="AQ47" s="1122"/>
    </row>
    <row r="48" spans="2:43" s="415" customFormat="1">
      <c r="B48" s="413"/>
      <c r="C48" s="418"/>
      <c r="D48" s="1117"/>
      <c r="E48" s="1118"/>
      <c r="F48" s="1118"/>
      <c r="G48" s="1118"/>
      <c r="H48" s="1118"/>
      <c r="I48" s="1118"/>
      <c r="J48" s="1118"/>
      <c r="K48" s="1118"/>
      <c r="L48" s="1118"/>
      <c r="M48" s="1118"/>
      <c r="N48" s="1118"/>
      <c r="O48" s="1118"/>
      <c r="P48" s="1118"/>
      <c r="Q48" s="1118"/>
      <c r="R48" s="1118"/>
      <c r="S48" s="1118"/>
      <c r="T48" s="1118"/>
      <c r="U48" s="1118"/>
      <c r="V48" s="1118"/>
      <c r="W48" s="1118"/>
      <c r="X48" s="1118"/>
      <c r="Y48" s="1118"/>
      <c r="Z48" s="1118"/>
      <c r="AA48" s="1118"/>
      <c r="AB48" s="1118"/>
      <c r="AC48" s="1118"/>
      <c r="AD48" s="1118"/>
      <c r="AE48" s="1118"/>
      <c r="AF48" s="1118"/>
      <c r="AG48" s="1118"/>
      <c r="AH48" s="1118"/>
      <c r="AI48" s="1118"/>
      <c r="AJ48" s="1118"/>
      <c r="AK48" s="1118"/>
      <c r="AL48" s="1118"/>
      <c r="AM48" s="1118"/>
      <c r="AN48" s="1118"/>
      <c r="AO48" s="1118"/>
      <c r="AP48" s="1118"/>
      <c r="AQ48" s="1122"/>
    </row>
    <row r="49" spans="2:43" s="415" customFormat="1">
      <c r="B49" s="413"/>
      <c r="C49" s="416" t="s">
        <v>544</v>
      </c>
      <c r="D49" s="1117"/>
      <c r="E49" s="1118"/>
      <c r="F49" s="1118"/>
      <c r="G49" s="1118"/>
      <c r="H49" s="1118"/>
      <c r="I49" s="1118"/>
      <c r="J49" s="1118"/>
      <c r="K49" s="1118"/>
      <c r="L49" s="1118"/>
      <c r="M49" s="1118"/>
      <c r="N49" s="1118"/>
      <c r="O49" s="1118"/>
      <c r="P49" s="1118"/>
      <c r="Q49" s="1118"/>
      <c r="R49" s="1118"/>
      <c r="S49" s="1118"/>
      <c r="T49" s="1118"/>
      <c r="U49" s="1118"/>
      <c r="V49" s="1118"/>
      <c r="W49" s="1118"/>
      <c r="X49" s="1118"/>
      <c r="Y49" s="1118"/>
      <c r="Z49" s="1118"/>
      <c r="AA49" s="1118"/>
      <c r="AB49" s="1118"/>
      <c r="AC49" s="1118"/>
      <c r="AD49" s="1118"/>
      <c r="AE49" s="1118"/>
      <c r="AF49" s="1118"/>
      <c r="AG49" s="1118"/>
      <c r="AH49" s="1118"/>
      <c r="AI49" s="1118"/>
      <c r="AJ49" s="1118"/>
      <c r="AK49" s="1118"/>
      <c r="AL49" s="1118"/>
      <c r="AM49" s="1118"/>
      <c r="AN49" s="1118"/>
      <c r="AO49" s="1118"/>
      <c r="AP49" s="1118"/>
      <c r="AQ49" s="1122"/>
    </row>
    <row r="50" spans="2:43" s="415" customFormat="1">
      <c r="B50" s="414"/>
      <c r="C50" s="414"/>
      <c r="D50" s="1119"/>
      <c r="E50" s="1120"/>
      <c r="F50" s="1120"/>
      <c r="G50" s="1120"/>
      <c r="H50" s="1120"/>
      <c r="I50" s="1120"/>
      <c r="J50" s="1120"/>
      <c r="K50" s="1120"/>
      <c r="L50" s="1120"/>
      <c r="M50" s="1120"/>
      <c r="N50" s="1120"/>
      <c r="O50" s="1120"/>
      <c r="P50" s="1120"/>
      <c r="Q50" s="1120"/>
      <c r="R50" s="1120"/>
      <c r="S50" s="1120"/>
      <c r="T50" s="1120"/>
      <c r="U50" s="1120"/>
      <c r="V50" s="1120"/>
      <c r="W50" s="1120"/>
      <c r="X50" s="1120"/>
      <c r="Y50" s="1120"/>
      <c r="Z50" s="1120"/>
      <c r="AA50" s="1120"/>
      <c r="AB50" s="1120"/>
      <c r="AC50" s="1120"/>
      <c r="AD50" s="1120"/>
      <c r="AE50" s="1120"/>
      <c r="AF50" s="1120"/>
      <c r="AG50" s="1120"/>
      <c r="AH50" s="1120"/>
      <c r="AI50" s="1120"/>
      <c r="AJ50" s="1120"/>
      <c r="AK50" s="1120"/>
      <c r="AL50" s="1120"/>
      <c r="AM50" s="1120"/>
      <c r="AN50" s="1120"/>
      <c r="AO50" s="1120"/>
      <c r="AP50" s="1120"/>
      <c r="AQ50" s="1123"/>
    </row>
    <row r="51" spans="2:43">
      <c r="B51" s="419"/>
      <c r="C51" s="420" t="s">
        <v>13</v>
      </c>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c r="AH51" s="932"/>
      <c r="AI51" s="932"/>
      <c r="AJ51" s="932"/>
      <c r="AK51" s="932"/>
      <c r="AL51" s="932"/>
      <c r="AM51" s="932"/>
      <c r="AN51" s="932"/>
      <c r="AO51" s="932"/>
      <c r="AP51" s="932"/>
      <c r="AQ51" s="932"/>
    </row>
    <row r="53" spans="2:43">
      <c r="B53" s="56" t="s">
        <v>741</v>
      </c>
      <c r="C53" s="56"/>
      <c r="D53" s="933"/>
      <c r="E53" s="933"/>
      <c r="F53" s="933"/>
      <c r="G53" s="933"/>
      <c r="H53" s="933"/>
    </row>
    <row r="54" spans="2:43">
      <c r="B54" s="56" t="s">
        <v>561</v>
      </c>
      <c r="C54" s="56"/>
      <c r="D54" s="933"/>
      <c r="E54" s="933"/>
      <c r="F54" s="933"/>
      <c r="G54" s="933"/>
      <c r="H54" s="933"/>
    </row>
  </sheetData>
  <mergeCells count="27">
    <mergeCell ref="D11:W50"/>
    <mergeCell ref="X11:AQ50"/>
    <mergeCell ref="B3:AQ3"/>
    <mergeCell ref="B4:AQ4"/>
    <mergeCell ref="B5:AQ5"/>
    <mergeCell ref="X8:AF8"/>
    <mergeCell ref="X9:X10"/>
    <mergeCell ref="AG8:AO8"/>
    <mergeCell ref="AG9:AG10"/>
    <mergeCell ref="AP8:AQ8"/>
    <mergeCell ref="AP9:AP10"/>
    <mergeCell ref="AQ9:AQ10"/>
    <mergeCell ref="B8:B10"/>
    <mergeCell ref="C8:C10"/>
    <mergeCell ref="D8:D10"/>
    <mergeCell ref="G8:G10"/>
    <mergeCell ref="O8:W8"/>
    <mergeCell ref="O9:O10"/>
    <mergeCell ref="N8:N10"/>
    <mergeCell ref="I8:I10"/>
    <mergeCell ref="E8:E10"/>
    <mergeCell ref="F8:F10"/>
    <mergeCell ref="J8:J10"/>
    <mergeCell ref="K8:K10"/>
    <mergeCell ref="L8:L10"/>
    <mergeCell ref="H8:H10"/>
    <mergeCell ref="M8:M10"/>
  </mergeCells>
  <pageMargins left="0.43307086614173229" right="0.43307086614173229" top="0.43307086614173229" bottom="0.43307086614173229" header="0.31496062992125984" footer="0.31496062992125984"/>
  <pageSetup paperSize="9" scale="45" fitToWidth="2" fitToHeight="2" orientation="landscape" r:id="rId1"/>
  <headerFooter>
    <oddFooter>&amp;CPage. &amp;P</oddFooter>
  </headerFooter>
  <colBreaks count="1" manualBreakCount="1">
    <brk id="23" min="2" max="9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K57"/>
  <sheetViews>
    <sheetView showGridLines="0" view="pageBreakPreview" topLeftCell="A37" zoomScale="60" zoomScaleNormal="80" workbookViewId="0">
      <selection activeCell="D12" sqref="D12:O52"/>
    </sheetView>
  </sheetViews>
  <sheetFormatPr baseColWidth="10" defaultColWidth="9.1640625" defaultRowHeight="15"/>
  <cols>
    <col min="1" max="1" width="4.5" style="26" customWidth="1"/>
    <col min="2" max="2" width="8.33203125" style="26" customWidth="1"/>
    <col min="3" max="3" width="46.5" style="26" customWidth="1"/>
    <col min="4" max="7" width="17.83203125" style="26" customWidth="1"/>
    <col min="8" max="8" width="16.6640625" style="26" customWidth="1"/>
    <col min="9" max="10" width="15.5" style="26" customWidth="1"/>
    <col min="11" max="14" width="16.5" style="26" customWidth="1"/>
    <col min="15" max="15" width="13.33203125" style="26" customWidth="1"/>
    <col min="16" max="19" width="14.5" style="26" customWidth="1"/>
    <col min="20" max="20" width="12" style="26" customWidth="1"/>
    <col min="21" max="21" width="13.33203125" style="26" bestFit="1" customWidth="1"/>
    <col min="22" max="24" width="12.5" style="26" customWidth="1"/>
    <col min="25" max="25" width="14.83203125" style="26" customWidth="1"/>
    <col min="26" max="26" width="12.83203125" style="26" customWidth="1"/>
    <col min="27" max="27" width="14.5" style="26" customWidth="1"/>
    <col min="28" max="28" width="16" style="26" customWidth="1"/>
    <col min="29" max="29" width="12.6640625" style="26" customWidth="1"/>
    <col min="30" max="30" width="14" style="26" customWidth="1"/>
    <col min="31" max="33" width="12.6640625" style="26" customWidth="1"/>
    <col min="34" max="34" width="15.33203125" style="26" customWidth="1"/>
    <col min="35" max="35" width="12.5" style="26" customWidth="1"/>
    <col min="36" max="37" width="13.5" style="26" customWidth="1"/>
    <col min="38" max="40" width="9.1640625" style="26"/>
    <col min="41" max="41" width="11.33203125" style="26" customWidth="1"/>
    <col min="42" max="16384" width="9.1640625" style="26"/>
  </cols>
  <sheetData>
    <row r="1" spans="2:37" ht="15.75" customHeight="1"/>
    <row r="2" spans="2:37" ht="15" customHeight="1">
      <c r="B2" s="1062" t="str">
        <f>Index!B2</f>
        <v>Jaigad Power Transco Ltd</v>
      </c>
      <c r="C2" s="1062"/>
      <c r="D2" s="1062"/>
      <c r="E2" s="1062"/>
      <c r="F2" s="1062"/>
      <c r="G2" s="1062"/>
      <c r="H2" s="1062"/>
      <c r="I2" s="1062"/>
      <c r="J2" s="1062"/>
      <c r="K2" s="1062"/>
      <c r="L2" s="1062"/>
      <c r="M2" s="1062"/>
      <c r="N2" s="1062"/>
      <c r="O2" s="1062"/>
    </row>
    <row r="3" spans="2:37" ht="15" customHeight="1">
      <c r="B3" s="1059" t="s">
        <v>188</v>
      </c>
      <c r="C3" s="1059"/>
      <c r="D3" s="1059"/>
      <c r="E3" s="1059"/>
      <c r="F3" s="1059"/>
      <c r="G3" s="1059"/>
      <c r="H3" s="1059"/>
      <c r="I3" s="1059"/>
      <c r="J3" s="1059"/>
      <c r="K3" s="1059"/>
      <c r="L3" s="1059"/>
      <c r="M3" s="1059"/>
      <c r="N3" s="1059"/>
      <c r="O3" s="1059"/>
      <c r="P3" s="409"/>
      <c r="Q3" s="409"/>
      <c r="R3" s="409"/>
      <c r="S3" s="409"/>
    </row>
    <row r="4" spans="2:37" ht="15" customHeight="1">
      <c r="B4" s="1110" t="s">
        <v>514</v>
      </c>
      <c r="C4" s="1110"/>
      <c r="D4" s="1110"/>
      <c r="E4" s="1110"/>
      <c r="F4" s="1110"/>
      <c r="G4" s="1110"/>
      <c r="H4" s="1110"/>
      <c r="I4" s="1110"/>
      <c r="J4" s="1110"/>
      <c r="K4" s="1110"/>
      <c r="L4" s="1110"/>
      <c r="M4" s="1110"/>
      <c r="N4" s="1110"/>
      <c r="O4" s="1110"/>
      <c r="P4" s="409"/>
      <c r="Q4" s="409"/>
      <c r="R4" s="409"/>
      <c r="S4" s="409"/>
    </row>
    <row r="5" spans="2:37">
      <c r="C5" s="410"/>
      <c r="D5" s="410"/>
      <c r="E5" s="410"/>
      <c r="F5" s="410"/>
      <c r="G5" s="410"/>
      <c r="H5" s="411"/>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row>
    <row r="6" spans="2:37">
      <c r="C6" s="410"/>
      <c r="D6" s="410"/>
      <c r="E6" s="410"/>
      <c r="F6" s="410"/>
      <c r="G6" s="410"/>
      <c r="H6" s="411"/>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row>
    <row r="7" spans="2:37" ht="15.75" customHeight="1">
      <c r="C7" s="411" t="s">
        <v>8</v>
      </c>
      <c r="D7" s="411"/>
      <c r="E7" s="411"/>
      <c r="F7" s="411"/>
      <c r="G7" s="411"/>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row>
    <row r="8" spans="2:37">
      <c r="C8" s="410"/>
      <c r="D8" s="410"/>
      <c r="E8" s="410"/>
      <c r="F8" s="410"/>
      <c r="G8" s="410"/>
      <c r="H8" s="410"/>
      <c r="I8" s="409"/>
      <c r="J8" s="409"/>
      <c r="K8" s="409"/>
      <c r="L8" s="409"/>
      <c r="M8" s="409"/>
      <c r="N8" s="412" t="s">
        <v>33</v>
      </c>
      <c r="O8" s="409"/>
      <c r="P8" s="409"/>
      <c r="Q8" s="409"/>
      <c r="R8" s="409"/>
      <c r="S8" s="409"/>
      <c r="T8" s="409"/>
      <c r="U8" s="409"/>
      <c r="V8" s="412"/>
      <c r="W8" s="409"/>
      <c r="Y8" s="409"/>
      <c r="Z8" s="409"/>
      <c r="AC8" s="412"/>
      <c r="AD8" s="412"/>
      <c r="AE8" s="412"/>
      <c r="AF8" s="412"/>
      <c r="AG8" s="412"/>
      <c r="AH8" s="409"/>
      <c r="AI8" s="409"/>
      <c r="AJ8" s="409"/>
    </row>
    <row r="9" spans="2:37" ht="15" customHeight="1">
      <c r="B9" s="1080" t="s">
        <v>226</v>
      </c>
      <c r="C9" s="1080" t="s">
        <v>79</v>
      </c>
      <c r="D9" s="1080" t="s">
        <v>522</v>
      </c>
      <c r="E9" s="1080" t="s">
        <v>523</v>
      </c>
      <c r="F9" s="1080" t="s">
        <v>192</v>
      </c>
      <c r="G9" s="1080" t="s">
        <v>535</v>
      </c>
      <c r="H9" s="1080" t="s">
        <v>536</v>
      </c>
      <c r="I9" s="1080" t="s">
        <v>193</v>
      </c>
      <c r="J9" s="1080" t="s">
        <v>194</v>
      </c>
      <c r="K9" s="1080" t="s">
        <v>195</v>
      </c>
      <c r="L9" s="1080"/>
      <c r="M9" s="1080"/>
      <c r="N9" s="1080"/>
      <c r="O9" s="1080" t="s">
        <v>196</v>
      </c>
      <c r="P9" s="1132"/>
      <c r="Q9" s="1132"/>
      <c r="R9" s="1132"/>
      <c r="S9" s="1132"/>
      <c r="T9" s="1132"/>
      <c r="U9" s="1132"/>
      <c r="V9" s="1132"/>
    </row>
    <row r="10" spans="2:37" ht="25.5" customHeight="1">
      <c r="B10" s="1080"/>
      <c r="C10" s="1080"/>
      <c r="D10" s="1080"/>
      <c r="E10" s="1080"/>
      <c r="F10" s="1080"/>
      <c r="G10" s="1080"/>
      <c r="H10" s="1080"/>
      <c r="I10" s="1080"/>
      <c r="J10" s="1080"/>
      <c r="K10" s="1080"/>
      <c r="L10" s="1080"/>
      <c r="M10" s="1080"/>
      <c r="N10" s="1080"/>
      <c r="O10" s="1080"/>
      <c r="P10" s="1132"/>
      <c r="Q10" s="1132"/>
      <c r="R10" s="1132"/>
      <c r="S10" s="1132"/>
      <c r="T10" s="1132"/>
      <c r="U10" s="1132"/>
      <c r="V10" s="1132"/>
    </row>
    <row r="11" spans="2:37" ht="49.5" customHeight="1">
      <c r="B11" s="1080"/>
      <c r="C11" s="1080"/>
      <c r="D11" s="1080"/>
      <c r="E11" s="1080"/>
      <c r="F11" s="1080"/>
      <c r="G11" s="1080"/>
      <c r="H11" s="1080"/>
      <c r="I11" s="1080"/>
      <c r="J11" s="1080"/>
      <c r="K11" s="17" t="s">
        <v>197</v>
      </c>
      <c r="L11" s="17" t="s">
        <v>198</v>
      </c>
      <c r="M11" s="17" t="s">
        <v>199</v>
      </c>
      <c r="N11" s="17" t="s">
        <v>200</v>
      </c>
      <c r="O11" s="1080"/>
      <c r="P11" s="1132"/>
      <c r="Q11" s="1132"/>
      <c r="R11" s="1132"/>
      <c r="S11" s="1132"/>
      <c r="T11" s="1132"/>
      <c r="U11" s="1132"/>
      <c r="V11" s="1132"/>
    </row>
    <row r="12" spans="2:37" s="415" customFormat="1">
      <c r="B12" s="413"/>
      <c r="C12" s="413" t="s">
        <v>213</v>
      </c>
      <c r="D12" s="1133" t="s">
        <v>950</v>
      </c>
      <c r="E12" s="1134"/>
      <c r="F12" s="1134"/>
      <c r="G12" s="1134"/>
      <c r="H12" s="1134"/>
      <c r="I12" s="1134"/>
      <c r="J12" s="1134"/>
      <c r="K12" s="1134"/>
      <c r="L12" s="1134"/>
      <c r="M12" s="1134"/>
      <c r="N12" s="1134"/>
      <c r="O12" s="1135"/>
      <c r="P12" s="393"/>
      <c r="Q12" s="393"/>
      <c r="R12" s="393"/>
      <c r="S12" s="393"/>
      <c r="T12" s="393"/>
      <c r="U12" s="393"/>
      <c r="V12" s="393"/>
    </row>
    <row r="13" spans="2:37" s="415" customFormat="1">
      <c r="B13" s="413"/>
      <c r="C13" s="416" t="s">
        <v>162</v>
      </c>
      <c r="D13" s="1136"/>
      <c r="E13" s="1137"/>
      <c r="F13" s="1137"/>
      <c r="G13" s="1137"/>
      <c r="H13" s="1137"/>
      <c r="I13" s="1137"/>
      <c r="J13" s="1137"/>
      <c r="K13" s="1137"/>
      <c r="L13" s="1137"/>
      <c r="M13" s="1137"/>
      <c r="N13" s="1137"/>
      <c r="O13" s="1138"/>
      <c r="P13" s="393"/>
      <c r="Q13" s="393"/>
      <c r="R13" s="393"/>
      <c r="S13" s="393"/>
      <c r="T13" s="393"/>
      <c r="U13" s="393"/>
      <c r="V13" s="393"/>
    </row>
    <row r="14" spans="2:37" s="415" customFormat="1">
      <c r="B14" s="413"/>
      <c r="C14" s="417" t="s">
        <v>163</v>
      </c>
      <c r="D14" s="1136"/>
      <c r="E14" s="1137"/>
      <c r="F14" s="1137"/>
      <c r="G14" s="1137"/>
      <c r="H14" s="1137"/>
      <c r="I14" s="1137"/>
      <c r="J14" s="1137"/>
      <c r="K14" s="1137"/>
      <c r="L14" s="1137"/>
      <c r="M14" s="1137"/>
      <c r="N14" s="1137"/>
      <c r="O14" s="1138"/>
      <c r="P14" s="393"/>
      <c r="Q14" s="393"/>
      <c r="R14" s="393"/>
      <c r="S14" s="393"/>
      <c r="T14" s="393"/>
      <c r="U14" s="393"/>
      <c r="V14" s="393"/>
    </row>
    <row r="15" spans="2:37" s="415" customFormat="1">
      <c r="B15" s="413"/>
      <c r="C15" s="417" t="s">
        <v>164</v>
      </c>
      <c r="D15" s="1136"/>
      <c r="E15" s="1137"/>
      <c r="F15" s="1137"/>
      <c r="G15" s="1137"/>
      <c r="H15" s="1137"/>
      <c r="I15" s="1137"/>
      <c r="J15" s="1137"/>
      <c r="K15" s="1137"/>
      <c r="L15" s="1137"/>
      <c r="M15" s="1137"/>
      <c r="N15" s="1137"/>
      <c r="O15" s="1138"/>
      <c r="P15" s="393"/>
      <c r="Q15" s="393"/>
      <c r="R15" s="393"/>
      <c r="S15" s="393"/>
      <c r="T15" s="393"/>
      <c r="U15" s="393"/>
      <c r="V15" s="393"/>
    </row>
    <row r="16" spans="2:37" s="415" customFormat="1">
      <c r="B16" s="413"/>
      <c r="C16" s="413" t="s">
        <v>165</v>
      </c>
      <c r="D16" s="1136"/>
      <c r="E16" s="1137"/>
      <c r="F16" s="1137"/>
      <c r="G16" s="1137"/>
      <c r="H16" s="1137"/>
      <c r="I16" s="1137"/>
      <c r="J16" s="1137"/>
      <c r="K16" s="1137"/>
      <c r="L16" s="1137"/>
      <c r="M16" s="1137"/>
      <c r="N16" s="1137"/>
      <c r="O16" s="1138"/>
      <c r="P16" s="393"/>
      <c r="Q16" s="393"/>
      <c r="R16" s="393"/>
      <c r="S16" s="393"/>
      <c r="T16" s="393"/>
      <c r="U16" s="393"/>
      <c r="V16" s="393"/>
    </row>
    <row r="17" spans="2:22" s="415" customFormat="1">
      <c r="B17" s="413"/>
      <c r="C17" s="414"/>
      <c r="D17" s="1136"/>
      <c r="E17" s="1137"/>
      <c r="F17" s="1137"/>
      <c r="G17" s="1137"/>
      <c r="H17" s="1137"/>
      <c r="I17" s="1137"/>
      <c r="J17" s="1137"/>
      <c r="K17" s="1137"/>
      <c r="L17" s="1137"/>
      <c r="M17" s="1137"/>
      <c r="N17" s="1137"/>
      <c r="O17" s="1138"/>
      <c r="P17" s="393"/>
      <c r="Q17" s="393"/>
      <c r="R17" s="393"/>
      <c r="S17" s="393"/>
      <c r="T17" s="393"/>
      <c r="U17" s="393"/>
      <c r="V17" s="393"/>
    </row>
    <row r="18" spans="2:22" s="415" customFormat="1">
      <c r="B18" s="413"/>
      <c r="C18" s="413" t="s">
        <v>214</v>
      </c>
      <c r="D18" s="1136"/>
      <c r="E18" s="1137"/>
      <c r="F18" s="1137"/>
      <c r="G18" s="1137"/>
      <c r="H18" s="1137"/>
      <c r="I18" s="1137"/>
      <c r="J18" s="1137"/>
      <c r="K18" s="1137"/>
      <c r="L18" s="1137"/>
      <c r="M18" s="1137"/>
      <c r="N18" s="1137"/>
      <c r="O18" s="1138"/>
      <c r="P18" s="393"/>
      <c r="Q18" s="393"/>
      <c r="R18" s="393"/>
      <c r="S18" s="393"/>
      <c r="T18" s="393"/>
      <c r="U18" s="393"/>
      <c r="V18" s="393"/>
    </row>
    <row r="19" spans="2:22" s="415" customFormat="1">
      <c r="B19" s="413"/>
      <c r="C19" s="416" t="s">
        <v>162</v>
      </c>
      <c r="D19" s="1136"/>
      <c r="E19" s="1137"/>
      <c r="F19" s="1137"/>
      <c r="G19" s="1137"/>
      <c r="H19" s="1137"/>
      <c r="I19" s="1137"/>
      <c r="J19" s="1137"/>
      <c r="K19" s="1137"/>
      <c r="L19" s="1137"/>
      <c r="M19" s="1137"/>
      <c r="N19" s="1137"/>
      <c r="O19" s="1138"/>
      <c r="P19" s="393"/>
      <c r="Q19" s="393"/>
      <c r="R19" s="393"/>
      <c r="S19" s="393"/>
      <c r="T19" s="393"/>
      <c r="U19" s="393"/>
      <c r="V19" s="393"/>
    </row>
    <row r="20" spans="2:22" s="415" customFormat="1">
      <c r="B20" s="413"/>
      <c r="C20" s="417" t="s">
        <v>163</v>
      </c>
      <c r="D20" s="1136"/>
      <c r="E20" s="1137"/>
      <c r="F20" s="1137"/>
      <c r="G20" s="1137"/>
      <c r="H20" s="1137"/>
      <c r="I20" s="1137"/>
      <c r="J20" s="1137"/>
      <c r="K20" s="1137"/>
      <c r="L20" s="1137"/>
      <c r="M20" s="1137"/>
      <c r="N20" s="1137"/>
      <c r="O20" s="1138"/>
      <c r="P20" s="393"/>
      <c r="Q20" s="393"/>
      <c r="R20" s="393"/>
      <c r="S20" s="393"/>
      <c r="T20" s="393"/>
      <c r="U20" s="393"/>
      <c r="V20" s="393"/>
    </row>
    <row r="21" spans="2:22" s="415" customFormat="1">
      <c r="B21" s="413"/>
      <c r="C21" s="417" t="s">
        <v>164</v>
      </c>
      <c r="D21" s="1136"/>
      <c r="E21" s="1137"/>
      <c r="F21" s="1137"/>
      <c r="G21" s="1137"/>
      <c r="H21" s="1137"/>
      <c r="I21" s="1137"/>
      <c r="J21" s="1137"/>
      <c r="K21" s="1137"/>
      <c r="L21" s="1137"/>
      <c r="M21" s="1137"/>
      <c r="N21" s="1137"/>
      <c r="O21" s="1138"/>
      <c r="P21" s="393"/>
      <c r="Q21" s="393"/>
      <c r="R21" s="393"/>
      <c r="S21" s="393"/>
      <c r="T21" s="393"/>
      <c r="U21" s="393"/>
      <c r="V21" s="393"/>
    </row>
    <row r="22" spans="2:22" s="415" customFormat="1">
      <c r="B22" s="413"/>
      <c r="C22" s="413" t="s">
        <v>165</v>
      </c>
      <c r="D22" s="1136"/>
      <c r="E22" s="1137"/>
      <c r="F22" s="1137"/>
      <c r="G22" s="1137"/>
      <c r="H22" s="1137"/>
      <c r="I22" s="1137"/>
      <c r="J22" s="1137"/>
      <c r="K22" s="1137"/>
      <c r="L22" s="1137"/>
      <c r="M22" s="1137"/>
      <c r="N22" s="1137"/>
      <c r="O22" s="1138"/>
      <c r="P22" s="393"/>
      <c r="Q22" s="393"/>
      <c r="R22" s="393"/>
      <c r="S22" s="393"/>
      <c r="T22" s="393"/>
      <c r="U22" s="393"/>
      <c r="V22" s="393"/>
    </row>
    <row r="23" spans="2:22" s="415" customFormat="1">
      <c r="B23" s="413"/>
      <c r="C23" s="414"/>
      <c r="D23" s="1136"/>
      <c r="E23" s="1137"/>
      <c r="F23" s="1137"/>
      <c r="G23" s="1137"/>
      <c r="H23" s="1137"/>
      <c r="I23" s="1137"/>
      <c r="J23" s="1137"/>
      <c r="K23" s="1137"/>
      <c r="L23" s="1137"/>
      <c r="M23" s="1137"/>
      <c r="N23" s="1137"/>
      <c r="O23" s="1138"/>
      <c r="P23" s="393"/>
      <c r="Q23" s="393"/>
      <c r="R23" s="393"/>
      <c r="S23" s="393"/>
      <c r="T23" s="393"/>
      <c r="U23" s="393"/>
      <c r="V23" s="393"/>
    </row>
    <row r="24" spans="2:22" s="415" customFormat="1">
      <c r="B24" s="413"/>
      <c r="C24" s="413" t="s">
        <v>215</v>
      </c>
      <c r="D24" s="1136"/>
      <c r="E24" s="1137"/>
      <c r="F24" s="1137"/>
      <c r="G24" s="1137"/>
      <c r="H24" s="1137"/>
      <c r="I24" s="1137"/>
      <c r="J24" s="1137"/>
      <c r="K24" s="1137"/>
      <c r="L24" s="1137"/>
      <c r="M24" s="1137"/>
      <c r="N24" s="1137"/>
      <c r="O24" s="1138"/>
      <c r="P24" s="393"/>
      <c r="Q24" s="393"/>
      <c r="R24" s="393"/>
      <c r="S24" s="393"/>
      <c r="T24" s="393"/>
      <c r="U24" s="393"/>
      <c r="V24" s="393"/>
    </row>
    <row r="25" spans="2:22" s="415" customFormat="1">
      <c r="B25" s="413"/>
      <c r="C25" s="416" t="s">
        <v>162</v>
      </c>
      <c r="D25" s="1136"/>
      <c r="E25" s="1137"/>
      <c r="F25" s="1137"/>
      <c r="G25" s="1137"/>
      <c r="H25" s="1137"/>
      <c r="I25" s="1137"/>
      <c r="J25" s="1137"/>
      <c r="K25" s="1137"/>
      <c r="L25" s="1137"/>
      <c r="M25" s="1137"/>
      <c r="N25" s="1137"/>
      <c r="O25" s="1138"/>
      <c r="P25" s="393"/>
      <c r="Q25" s="393"/>
      <c r="R25" s="393"/>
      <c r="S25" s="393"/>
      <c r="T25" s="393"/>
      <c r="U25" s="393"/>
      <c r="V25" s="393"/>
    </row>
    <row r="26" spans="2:22" s="415" customFormat="1">
      <c r="B26" s="413"/>
      <c r="C26" s="417" t="s">
        <v>163</v>
      </c>
      <c r="D26" s="1136"/>
      <c r="E26" s="1137"/>
      <c r="F26" s="1137"/>
      <c r="G26" s="1137"/>
      <c r="H26" s="1137"/>
      <c r="I26" s="1137"/>
      <c r="J26" s="1137"/>
      <c r="K26" s="1137"/>
      <c r="L26" s="1137"/>
      <c r="M26" s="1137"/>
      <c r="N26" s="1137"/>
      <c r="O26" s="1138"/>
      <c r="P26" s="393"/>
      <c r="Q26" s="393"/>
      <c r="R26" s="393"/>
      <c r="S26" s="393"/>
      <c r="T26" s="393"/>
      <c r="U26" s="393"/>
      <c r="V26" s="393"/>
    </row>
    <row r="27" spans="2:22" s="415" customFormat="1">
      <c r="B27" s="413"/>
      <c r="C27" s="417" t="s">
        <v>164</v>
      </c>
      <c r="D27" s="1136"/>
      <c r="E27" s="1137"/>
      <c r="F27" s="1137"/>
      <c r="G27" s="1137"/>
      <c r="H27" s="1137"/>
      <c r="I27" s="1137"/>
      <c r="J27" s="1137"/>
      <c r="K27" s="1137"/>
      <c r="L27" s="1137"/>
      <c r="M27" s="1137"/>
      <c r="N27" s="1137"/>
      <c r="O27" s="1138"/>
      <c r="P27" s="393"/>
      <c r="Q27" s="393"/>
      <c r="R27" s="393"/>
      <c r="S27" s="393"/>
      <c r="T27" s="393"/>
      <c r="U27" s="393"/>
      <c r="V27" s="393"/>
    </row>
    <row r="28" spans="2:22" s="415" customFormat="1">
      <c r="B28" s="413"/>
      <c r="C28" s="413" t="s">
        <v>165</v>
      </c>
      <c r="D28" s="1136"/>
      <c r="E28" s="1137"/>
      <c r="F28" s="1137"/>
      <c r="G28" s="1137"/>
      <c r="H28" s="1137"/>
      <c r="I28" s="1137"/>
      <c r="J28" s="1137"/>
      <c r="K28" s="1137"/>
      <c r="L28" s="1137"/>
      <c r="M28" s="1137"/>
      <c r="N28" s="1137"/>
      <c r="O28" s="1138"/>
      <c r="P28" s="393"/>
      <c r="Q28" s="393"/>
      <c r="R28" s="393"/>
      <c r="S28" s="393"/>
      <c r="T28" s="393"/>
      <c r="U28" s="393"/>
      <c r="V28" s="393"/>
    </row>
    <row r="29" spans="2:22" s="415" customFormat="1">
      <c r="B29" s="413"/>
      <c r="C29" s="414"/>
      <c r="D29" s="1136"/>
      <c r="E29" s="1137"/>
      <c r="F29" s="1137"/>
      <c r="G29" s="1137"/>
      <c r="H29" s="1137"/>
      <c r="I29" s="1137"/>
      <c r="J29" s="1137"/>
      <c r="K29" s="1137"/>
      <c r="L29" s="1137"/>
      <c r="M29" s="1137"/>
      <c r="N29" s="1137"/>
      <c r="O29" s="1138"/>
      <c r="P29" s="393"/>
      <c r="Q29" s="393"/>
      <c r="R29" s="393"/>
      <c r="S29" s="393"/>
      <c r="T29" s="393"/>
      <c r="U29" s="393"/>
      <c r="V29" s="393"/>
    </row>
    <row r="30" spans="2:22" s="415" customFormat="1">
      <c r="B30" s="413"/>
      <c r="C30" s="413" t="s">
        <v>540</v>
      </c>
      <c r="D30" s="1136"/>
      <c r="E30" s="1137"/>
      <c r="F30" s="1137"/>
      <c r="G30" s="1137"/>
      <c r="H30" s="1137"/>
      <c r="I30" s="1137"/>
      <c r="J30" s="1137"/>
      <c r="K30" s="1137"/>
      <c r="L30" s="1137"/>
      <c r="M30" s="1137"/>
      <c r="N30" s="1137"/>
      <c r="O30" s="1138"/>
      <c r="P30" s="393"/>
      <c r="Q30" s="393"/>
      <c r="R30" s="393"/>
      <c r="S30" s="393"/>
      <c r="T30" s="393"/>
      <c r="U30" s="393"/>
      <c r="V30" s="393"/>
    </row>
    <row r="31" spans="2:22" s="415" customFormat="1">
      <c r="B31" s="413"/>
      <c r="C31" s="416" t="s">
        <v>162</v>
      </c>
      <c r="D31" s="1136"/>
      <c r="E31" s="1137"/>
      <c r="F31" s="1137"/>
      <c r="G31" s="1137"/>
      <c r="H31" s="1137"/>
      <c r="I31" s="1137"/>
      <c r="J31" s="1137"/>
      <c r="K31" s="1137"/>
      <c r="L31" s="1137"/>
      <c r="M31" s="1137"/>
      <c r="N31" s="1137"/>
      <c r="O31" s="1138"/>
      <c r="P31" s="393"/>
      <c r="Q31" s="393"/>
      <c r="R31" s="393"/>
      <c r="S31" s="393"/>
      <c r="T31" s="393"/>
      <c r="U31" s="393"/>
      <c r="V31" s="393"/>
    </row>
    <row r="32" spans="2:22" s="415" customFormat="1">
      <c r="B32" s="413"/>
      <c r="C32" s="417" t="s">
        <v>163</v>
      </c>
      <c r="D32" s="1136"/>
      <c r="E32" s="1137"/>
      <c r="F32" s="1137"/>
      <c r="G32" s="1137"/>
      <c r="H32" s="1137"/>
      <c r="I32" s="1137"/>
      <c r="J32" s="1137"/>
      <c r="K32" s="1137"/>
      <c r="L32" s="1137"/>
      <c r="M32" s="1137"/>
      <c r="N32" s="1137"/>
      <c r="O32" s="1138"/>
      <c r="P32" s="393"/>
      <c r="Q32" s="393"/>
      <c r="R32" s="393"/>
      <c r="S32" s="393"/>
      <c r="T32" s="393"/>
      <c r="U32" s="393"/>
      <c r="V32" s="393"/>
    </row>
    <row r="33" spans="2:22" s="415" customFormat="1">
      <c r="B33" s="413"/>
      <c r="C33" s="417" t="s">
        <v>164</v>
      </c>
      <c r="D33" s="1136"/>
      <c r="E33" s="1137"/>
      <c r="F33" s="1137"/>
      <c r="G33" s="1137"/>
      <c r="H33" s="1137"/>
      <c r="I33" s="1137"/>
      <c r="J33" s="1137"/>
      <c r="K33" s="1137"/>
      <c r="L33" s="1137"/>
      <c r="M33" s="1137"/>
      <c r="N33" s="1137"/>
      <c r="O33" s="1138"/>
      <c r="P33" s="393"/>
      <c r="Q33" s="393"/>
      <c r="R33" s="393"/>
      <c r="S33" s="393"/>
      <c r="T33" s="393"/>
      <c r="U33" s="393"/>
      <c r="V33" s="393"/>
    </row>
    <row r="34" spans="2:22" s="415" customFormat="1">
      <c r="B34" s="413"/>
      <c r="C34" s="413" t="s">
        <v>165</v>
      </c>
      <c r="D34" s="1136"/>
      <c r="E34" s="1137"/>
      <c r="F34" s="1137"/>
      <c r="G34" s="1137"/>
      <c r="H34" s="1137"/>
      <c r="I34" s="1137"/>
      <c r="J34" s="1137"/>
      <c r="K34" s="1137"/>
      <c r="L34" s="1137"/>
      <c r="M34" s="1137"/>
      <c r="N34" s="1137"/>
      <c r="O34" s="1138"/>
      <c r="P34" s="393"/>
      <c r="Q34" s="393"/>
      <c r="R34" s="393"/>
      <c r="S34" s="393"/>
      <c r="T34" s="393"/>
      <c r="U34" s="393"/>
      <c r="V34" s="393"/>
    </row>
    <row r="35" spans="2:22" s="415" customFormat="1">
      <c r="B35" s="413"/>
      <c r="C35" s="418"/>
      <c r="D35" s="1136"/>
      <c r="E35" s="1137"/>
      <c r="F35" s="1137"/>
      <c r="G35" s="1137"/>
      <c r="H35" s="1137"/>
      <c r="I35" s="1137"/>
      <c r="J35" s="1137"/>
      <c r="K35" s="1137"/>
      <c r="L35" s="1137"/>
      <c r="M35" s="1137"/>
      <c r="N35" s="1137"/>
      <c r="O35" s="1138"/>
      <c r="P35" s="393"/>
      <c r="Q35" s="393"/>
      <c r="R35" s="393"/>
      <c r="S35" s="393"/>
      <c r="T35" s="393"/>
      <c r="U35" s="393"/>
      <c r="V35" s="393"/>
    </row>
    <row r="36" spans="2:22" s="415" customFormat="1">
      <c r="B36" s="413"/>
      <c r="C36" s="416" t="s">
        <v>541</v>
      </c>
      <c r="D36" s="1136"/>
      <c r="E36" s="1137"/>
      <c r="F36" s="1137"/>
      <c r="G36" s="1137"/>
      <c r="H36" s="1137"/>
      <c r="I36" s="1137"/>
      <c r="J36" s="1137"/>
      <c r="K36" s="1137"/>
      <c r="L36" s="1137"/>
      <c r="M36" s="1137"/>
      <c r="N36" s="1137"/>
      <c r="O36" s="1138"/>
      <c r="P36" s="393"/>
      <c r="Q36" s="393"/>
      <c r="R36" s="393"/>
      <c r="S36" s="393"/>
      <c r="T36" s="393"/>
      <c r="U36" s="393"/>
      <c r="V36" s="393"/>
    </row>
    <row r="37" spans="2:22" s="415" customFormat="1">
      <c r="B37" s="413"/>
      <c r="C37" s="416" t="s">
        <v>162</v>
      </c>
      <c r="D37" s="1136"/>
      <c r="E37" s="1137"/>
      <c r="F37" s="1137"/>
      <c r="G37" s="1137"/>
      <c r="H37" s="1137"/>
      <c r="I37" s="1137"/>
      <c r="J37" s="1137"/>
      <c r="K37" s="1137"/>
      <c r="L37" s="1137"/>
      <c r="M37" s="1137"/>
      <c r="N37" s="1137"/>
      <c r="O37" s="1138"/>
      <c r="P37" s="393"/>
      <c r="Q37" s="393"/>
      <c r="R37" s="393"/>
      <c r="S37" s="393"/>
      <c r="T37" s="393"/>
      <c r="U37" s="393"/>
      <c r="V37" s="393"/>
    </row>
    <row r="38" spans="2:22" s="415" customFormat="1">
      <c r="B38" s="413"/>
      <c r="C38" s="417" t="s">
        <v>163</v>
      </c>
      <c r="D38" s="1136"/>
      <c r="E38" s="1137"/>
      <c r="F38" s="1137"/>
      <c r="G38" s="1137"/>
      <c r="H38" s="1137"/>
      <c r="I38" s="1137"/>
      <c r="J38" s="1137"/>
      <c r="K38" s="1137"/>
      <c r="L38" s="1137"/>
      <c r="M38" s="1137"/>
      <c r="N38" s="1137"/>
      <c r="O38" s="1138"/>
      <c r="P38" s="393"/>
      <c r="Q38" s="393"/>
      <c r="R38" s="393"/>
      <c r="S38" s="393"/>
      <c r="T38" s="393"/>
      <c r="U38" s="393"/>
      <c r="V38" s="393"/>
    </row>
    <row r="39" spans="2:22" s="415" customFormat="1">
      <c r="B39" s="413"/>
      <c r="C39" s="417" t="s">
        <v>164</v>
      </c>
      <c r="D39" s="1136"/>
      <c r="E39" s="1137"/>
      <c r="F39" s="1137"/>
      <c r="G39" s="1137"/>
      <c r="H39" s="1137"/>
      <c r="I39" s="1137"/>
      <c r="J39" s="1137"/>
      <c r="K39" s="1137"/>
      <c r="L39" s="1137"/>
      <c r="M39" s="1137"/>
      <c r="N39" s="1137"/>
      <c r="O39" s="1138"/>
      <c r="P39" s="393"/>
      <c r="Q39" s="393"/>
      <c r="R39" s="393"/>
      <c r="S39" s="393"/>
      <c r="T39" s="393"/>
      <c r="U39" s="393"/>
      <c r="V39" s="393"/>
    </row>
    <row r="40" spans="2:22" s="415" customFormat="1">
      <c r="B40" s="413"/>
      <c r="C40" s="413" t="s">
        <v>165</v>
      </c>
      <c r="D40" s="1136"/>
      <c r="E40" s="1137"/>
      <c r="F40" s="1137"/>
      <c r="G40" s="1137"/>
      <c r="H40" s="1137"/>
      <c r="I40" s="1137"/>
      <c r="J40" s="1137"/>
      <c r="K40" s="1137"/>
      <c r="L40" s="1137"/>
      <c r="M40" s="1137"/>
      <c r="N40" s="1137"/>
      <c r="O40" s="1138"/>
      <c r="P40" s="393"/>
      <c r="Q40" s="393"/>
      <c r="R40" s="393"/>
      <c r="S40" s="393"/>
      <c r="T40" s="393"/>
      <c r="U40" s="393"/>
      <c r="V40" s="393"/>
    </row>
    <row r="41" spans="2:22" s="415" customFormat="1">
      <c r="B41" s="413"/>
      <c r="C41" s="418"/>
      <c r="D41" s="1136"/>
      <c r="E41" s="1137"/>
      <c r="F41" s="1137"/>
      <c r="G41" s="1137"/>
      <c r="H41" s="1137"/>
      <c r="I41" s="1137"/>
      <c r="J41" s="1137"/>
      <c r="K41" s="1137"/>
      <c r="L41" s="1137"/>
      <c r="M41" s="1137"/>
      <c r="N41" s="1137"/>
      <c r="O41" s="1138"/>
      <c r="P41" s="393"/>
      <c r="Q41" s="393"/>
      <c r="R41" s="393"/>
      <c r="S41" s="393"/>
      <c r="T41" s="393"/>
      <c r="U41" s="393"/>
      <c r="V41" s="393"/>
    </row>
    <row r="42" spans="2:22" s="415" customFormat="1">
      <c r="B42" s="413"/>
      <c r="C42" s="416" t="s">
        <v>542</v>
      </c>
      <c r="D42" s="1136"/>
      <c r="E42" s="1137"/>
      <c r="F42" s="1137"/>
      <c r="G42" s="1137"/>
      <c r="H42" s="1137"/>
      <c r="I42" s="1137"/>
      <c r="J42" s="1137"/>
      <c r="K42" s="1137"/>
      <c r="L42" s="1137"/>
      <c r="M42" s="1137"/>
      <c r="N42" s="1137"/>
      <c r="O42" s="1138"/>
      <c r="P42" s="393"/>
      <c r="Q42" s="393"/>
      <c r="R42" s="393"/>
      <c r="S42" s="393"/>
      <c r="T42" s="393"/>
      <c r="U42" s="393"/>
      <c r="V42" s="393"/>
    </row>
    <row r="43" spans="2:22" s="415" customFormat="1">
      <c r="B43" s="413"/>
      <c r="C43" s="416" t="s">
        <v>162</v>
      </c>
      <c r="D43" s="1136"/>
      <c r="E43" s="1137"/>
      <c r="F43" s="1137"/>
      <c r="G43" s="1137"/>
      <c r="H43" s="1137"/>
      <c r="I43" s="1137"/>
      <c r="J43" s="1137"/>
      <c r="K43" s="1137"/>
      <c r="L43" s="1137"/>
      <c r="M43" s="1137"/>
      <c r="N43" s="1137"/>
      <c r="O43" s="1138"/>
      <c r="P43" s="393"/>
      <c r="Q43" s="393"/>
      <c r="R43" s="393"/>
      <c r="S43" s="393"/>
      <c r="T43" s="393"/>
      <c r="U43" s="393"/>
      <c r="V43" s="393"/>
    </row>
    <row r="44" spans="2:22" s="415" customFormat="1">
      <c r="B44" s="413"/>
      <c r="C44" s="417" t="s">
        <v>163</v>
      </c>
      <c r="D44" s="1136"/>
      <c r="E44" s="1137"/>
      <c r="F44" s="1137"/>
      <c r="G44" s="1137"/>
      <c r="H44" s="1137"/>
      <c r="I44" s="1137"/>
      <c r="J44" s="1137"/>
      <c r="K44" s="1137"/>
      <c r="L44" s="1137"/>
      <c r="M44" s="1137"/>
      <c r="N44" s="1137"/>
      <c r="O44" s="1138"/>
      <c r="P44" s="393"/>
      <c r="Q44" s="393"/>
      <c r="R44" s="393"/>
      <c r="S44" s="393"/>
      <c r="T44" s="393"/>
      <c r="U44" s="393"/>
      <c r="V44" s="393"/>
    </row>
    <row r="45" spans="2:22" s="415" customFormat="1">
      <c r="B45" s="413"/>
      <c r="C45" s="417" t="s">
        <v>164</v>
      </c>
      <c r="D45" s="1136"/>
      <c r="E45" s="1137"/>
      <c r="F45" s="1137"/>
      <c r="G45" s="1137"/>
      <c r="H45" s="1137"/>
      <c r="I45" s="1137"/>
      <c r="J45" s="1137"/>
      <c r="K45" s="1137"/>
      <c r="L45" s="1137"/>
      <c r="M45" s="1137"/>
      <c r="N45" s="1137"/>
      <c r="O45" s="1138"/>
      <c r="P45" s="393"/>
      <c r="Q45" s="393"/>
      <c r="R45" s="393"/>
      <c r="S45" s="393"/>
      <c r="T45" s="393"/>
      <c r="U45" s="393"/>
      <c r="V45" s="393"/>
    </row>
    <row r="46" spans="2:22" s="415" customFormat="1">
      <c r="B46" s="413"/>
      <c r="C46" s="413" t="s">
        <v>165</v>
      </c>
      <c r="D46" s="1136"/>
      <c r="E46" s="1137"/>
      <c r="F46" s="1137"/>
      <c r="G46" s="1137"/>
      <c r="H46" s="1137"/>
      <c r="I46" s="1137"/>
      <c r="J46" s="1137"/>
      <c r="K46" s="1137"/>
      <c r="L46" s="1137"/>
      <c r="M46" s="1137"/>
      <c r="N46" s="1137"/>
      <c r="O46" s="1138"/>
      <c r="P46" s="393"/>
      <c r="Q46" s="393"/>
      <c r="R46" s="393"/>
      <c r="S46" s="393"/>
      <c r="T46" s="393"/>
      <c r="U46" s="393"/>
      <c r="V46" s="393"/>
    </row>
    <row r="47" spans="2:22" s="415" customFormat="1">
      <c r="B47" s="413"/>
      <c r="C47" s="418"/>
      <c r="D47" s="1136"/>
      <c r="E47" s="1137"/>
      <c r="F47" s="1137"/>
      <c r="G47" s="1137"/>
      <c r="H47" s="1137"/>
      <c r="I47" s="1137"/>
      <c r="J47" s="1137"/>
      <c r="K47" s="1137"/>
      <c r="L47" s="1137"/>
      <c r="M47" s="1137"/>
      <c r="N47" s="1137"/>
      <c r="O47" s="1138"/>
      <c r="P47" s="393"/>
      <c r="Q47" s="393"/>
      <c r="R47" s="393"/>
      <c r="S47" s="393"/>
      <c r="T47" s="393"/>
      <c r="U47" s="393"/>
      <c r="V47" s="393"/>
    </row>
    <row r="48" spans="2:22" s="415" customFormat="1">
      <c r="B48" s="413"/>
      <c r="C48" s="416" t="s">
        <v>543</v>
      </c>
      <c r="D48" s="1136"/>
      <c r="E48" s="1137"/>
      <c r="F48" s="1137"/>
      <c r="G48" s="1137"/>
      <c r="H48" s="1137"/>
      <c r="I48" s="1137"/>
      <c r="J48" s="1137"/>
      <c r="K48" s="1137"/>
      <c r="L48" s="1137"/>
      <c r="M48" s="1137"/>
      <c r="N48" s="1137"/>
      <c r="O48" s="1138"/>
      <c r="P48" s="393"/>
      <c r="Q48" s="393"/>
      <c r="R48" s="393"/>
      <c r="S48" s="393"/>
      <c r="T48" s="393"/>
      <c r="U48" s="393"/>
      <c r="V48" s="393"/>
    </row>
    <row r="49" spans="2:22" s="415" customFormat="1">
      <c r="B49" s="413"/>
      <c r="C49" s="418"/>
      <c r="D49" s="1136"/>
      <c r="E49" s="1137"/>
      <c r="F49" s="1137"/>
      <c r="G49" s="1137"/>
      <c r="H49" s="1137"/>
      <c r="I49" s="1137"/>
      <c r="J49" s="1137"/>
      <c r="K49" s="1137"/>
      <c r="L49" s="1137"/>
      <c r="M49" s="1137"/>
      <c r="N49" s="1137"/>
      <c r="O49" s="1138"/>
      <c r="P49" s="393"/>
      <c r="Q49" s="393"/>
      <c r="R49" s="393"/>
      <c r="S49" s="393"/>
      <c r="T49" s="393"/>
      <c r="U49" s="393"/>
      <c r="V49" s="393"/>
    </row>
    <row r="50" spans="2:22" s="415" customFormat="1">
      <c r="B50" s="413"/>
      <c r="C50" s="416" t="s">
        <v>544</v>
      </c>
      <c r="D50" s="1136"/>
      <c r="E50" s="1137"/>
      <c r="F50" s="1137"/>
      <c r="G50" s="1137"/>
      <c r="H50" s="1137"/>
      <c r="I50" s="1137"/>
      <c r="J50" s="1137"/>
      <c r="K50" s="1137"/>
      <c r="L50" s="1137"/>
      <c r="M50" s="1137"/>
      <c r="N50" s="1137"/>
      <c r="O50" s="1138"/>
      <c r="P50" s="393"/>
      <c r="Q50" s="393"/>
      <c r="R50" s="393"/>
      <c r="S50" s="393"/>
      <c r="T50" s="393"/>
      <c r="U50" s="393"/>
      <c r="V50" s="393"/>
    </row>
    <row r="51" spans="2:22" s="415" customFormat="1">
      <c r="B51" s="413"/>
      <c r="C51" s="414"/>
      <c r="D51" s="1136"/>
      <c r="E51" s="1137"/>
      <c r="F51" s="1137"/>
      <c r="G51" s="1137"/>
      <c r="H51" s="1137"/>
      <c r="I51" s="1137"/>
      <c r="J51" s="1137"/>
      <c r="K51" s="1137"/>
      <c r="L51" s="1137"/>
      <c r="M51" s="1137"/>
      <c r="N51" s="1137"/>
      <c r="O51" s="1138"/>
      <c r="P51" s="393"/>
      <c r="Q51" s="393"/>
      <c r="R51" s="393"/>
      <c r="S51" s="393"/>
      <c r="T51" s="393"/>
      <c r="U51" s="393"/>
      <c r="V51" s="393"/>
    </row>
    <row r="52" spans="2:22" s="415" customFormat="1">
      <c r="B52" s="413"/>
      <c r="C52" s="413"/>
      <c r="D52" s="1139"/>
      <c r="E52" s="1140"/>
      <c r="F52" s="1140"/>
      <c r="G52" s="1140"/>
      <c r="H52" s="1140"/>
      <c r="I52" s="1140"/>
      <c r="J52" s="1140"/>
      <c r="K52" s="1140"/>
      <c r="L52" s="1140"/>
      <c r="M52" s="1140"/>
      <c r="N52" s="1140"/>
      <c r="O52" s="1141"/>
      <c r="P52" s="393"/>
      <c r="Q52" s="393"/>
      <c r="R52" s="393"/>
      <c r="S52" s="393"/>
      <c r="T52" s="393"/>
      <c r="U52" s="393"/>
      <c r="V52" s="393"/>
    </row>
    <row r="53" spans="2:22" s="415" customFormat="1">
      <c r="B53" s="414"/>
      <c r="C53" s="414"/>
      <c r="D53" s="414"/>
      <c r="E53" s="414"/>
      <c r="F53" s="414"/>
      <c r="G53" s="414"/>
      <c r="H53" s="414"/>
      <c r="I53" s="414"/>
      <c r="J53" s="414"/>
      <c r="K53" s="414"/>
      <c r="L53" s="414"/>
      <c r="M53" s="414"/>
      <c r="N53" s="414"/>
      <c r="O53" s="414"/>
      <c r="P53" s="393"/>
      <c r="Q53" s="393"/>
      <c r="R53" s="393"/>
      <c r="S53" s="393"/>
      <c r="T53" s="393"/>
      <c r="U53" s="393"/>
      <c r="V53" s="393"/>
    </row>
    <row r="54" spans="2:22">
      <c r="B54" s="419"/>
      <c r="C54" s="420" t="s">
        <v>13</v>
      </c>
      <c r="D54" s="420"/>
      <c r="E54" s="420"/>
      <c r="F54" s="419"/>
      <c r="G54" s="419"/>
      <c r="H54" s="419"/>
      <c r="I54" s="419"/>
      <c r="J54" s="419"/>
      <c r="K54" s="419"/>
      <c r="L54" s="419"/>
      <c r="M54" s="419"/>
      <c r="N54" s="419"/>
      <c r="O54" s="419"/>
      <c r="P54" s="393"/>
      <c r="Q54" s="393"/>
      <c r="R54" s="393"/>
      <c r="S54" s="393"/>
      <c r="T54" s="393"/>
      <c r="U54" s="393"/>
      <c r="V54" s="393"/>
    </row>
    <row r="56" spans="2:22">
      <c r="B56" s="56" t="s">
        <v>740</v>
      </c>
      <c r="C56" s="56"/>
      <c r="D56" s="421"/>
      <c r="E56" s="421"/>
      <c r="F56" s="421"/>
      <c r="G56" s="421"/>
      <c r="H56" s="421"/>
      <c r="I56" s="421"/>
      <c r="J56" s="421"/>
    </row>
    <row r="57" spans="2:22">
      <c r="B57" s="56" t="s">
        <v>565</v>
      </c>
      <c r="C57" s="56"/>
      <c r="D57" s="421"/>
      <c r="E57" s="421"/>
      <c r="F57" s="421"/>
      <c r="G57" s="421"/>
      <c r="H57" s="421"/>
      <c r="I57" s="421"/>
      <c r="J57" s="421"/>
    </row>
  </sheetData>
  <mergeCells count="16">
    <mergeCell ref="D12:O52"/>
    <mergeCell ref="B2:O2"/>
    <mergeCell ref="B3:O3"/>
    <mergeCell ref="B4:O4"/>
    <mergeCell ref="K9:N10"/>
    <mergeCell ref="O9:O11"/>
    <mergeCell ref="P9:V11"/>
    <mergeCell ref="B9:B11"/>
    <mergeCell ref="C9:C11"/>
    <mergeCell ref="F9:F11"/>
    <mergeCell ref="G9:G11"/>
    <mergeCell ref="H9:H11"/>
    <mergeCell ref="I9:I11"/>
    <mergeCell ref="J9:J11"/>
    <mergeCell ref="E9:E11"/>
    <mergeCell ref="D9:D11"/>
  </mergeCells>
  <pageMargins left="0.43307086614173229" right="0.43307086614173229" top="0.43307086614173229" bottom="0.43307086614173229" header="0.31496062992125984" footer="0.31496062992125984"/>
  <pageSetup paperSize="9" scale="50" orientation="landscape" r:id="rId1"/>
  <headerFoot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AO95"/>
  <sheetViews>
    <sheetView showGridLines="0" view="pageBreakPreview" topLeftCell="A22" zoomScale="60" zoomScaleNormal="68" workbookViewId="0">
      <selection activeCell="A52" sqref="A52"/>
    </sheetView>
  </sheetViews>
  <sheetFormatPr baseColWidth="10" defaultColWidth="9.1640625" defaultRowHeight="15"/>
  <cols>
    <col min="1" max="1" width="4.1640625" style="5" customWidth="1"/>
    <col min="2" max="2" width="6.33203125" style="5" customWidth="1"/>
    <col min="3" max="3" width="36.1640625" style="5" customWidth="1"/>
    <col min="4" max="8" width="17.83203125" style="5" customWidth="1"/>
    <col min="9" max="9" width="18.6640625" style="5" customWidth="1"/>
    <col min="10" max="10" width="23.33203125" style="5" customWidth="1"/>
    <col min="11" max="23" width="18.6640625" style="5" customWidth="1"/>
    <col min="24" max="24" width="18.6640625" style="903" customWidth="1"/>
    <col min="25" max="25" width="25.83203125" style="5" customWidth="1"/>
    <col min="26" max="26" width="14.83203125" style="5" bestFit="1" customWidth="1"/>
    <col min="27" max="27" width="14.83203125" style="5" customWidth="1"/>
    <col min="28" max="28" width="24.1640625" style="5" customWidth="1"/>
    <col min="29" max="29" width="18.6640625" style="5" customWidth="1"/>
    <col min="30" max="30" width="9" style="5" bestFit="1" customWidth="1"/>
    <col min="31" max="31" width="8.5" style="5" bestFit="1" customWidth="1"/>
    <col min="32" max="32" width="9.5" style="5" bestFit="1" customWidth="1"/>
    <col min="33" max="33" width="9.1640625" style="5"/>
    <col min="34" max="34" width="14.1640625" style="5" bestFit="1" customWidth="1"/>
    <col min="35" max="35" width="14.5" style="5" bestFit="1" customWidth="1"/>
    <col min="36" max="38" width="14.83203125" style="5" bestFit="1" customWidth="1"/>
    <col min="39" max="40" width="15.5" style="5" bestFit="1" customWidth="1"/>
    <col min="41" max="41" width="15.1640625" style="5" bestFit="1" customWidth="1"/>
    <col min="42" max="16384" width="9.1640625" style="5"/>
  </cols>
  <sheetData>
    <row r="3" spans="1:28">
      <c r="B3" s="6"/>
    </row>
    <row r="4" spans="1:28">
      <c r="B4" s="1043" t="str">
        <f>Index!B2</f>
        <v>Jaigad Power Transco Ltd</v>
      </c>
      <c r="C4" s="1043"/>
      <c r="D4" s="1043"/>
      <c r="E4" s="1043"/>
      <c r="F4" s="1043"/>
      <c r="G4" s="1043"/>
      <c r="H4" s="1043"/>
      <c r="I4" s="1043"/>
      <c r="J4" s="1043"/>
      <c r="K4" s="1043"/>
      <c r="L4" s="1043"/>
      <c r="M4" s="1043"/>
      <c r="N4" s="1043"/>
      <c r="O4" s="1043"/>
      <c r="P4" s="1043"/>
      <c r="Q4" s="1043"/>
      <c r="R4" s="1043"/>
      <c r="S4" s="1043"/>
      <c r="T4" s="1043"/>
      <c r="U4" s="1043"/>
      <c r="V4" s="1043"/>
      <c r="W4" s="1043"/>
      <c r="X4" s="896"/>
      <c r="Y4" s="7"/>
      <c r="Z4" s="7"/>
      <c r="AA4" s="7"/>
      <c r="AB4" s="7"/>
    </row>
    <row r="5" spans="1:28">
      <c r="B5" s="1043" t="s">
        <v>190</v>
      </c>
      <c r="C5" s="1043"/>
      <c r="D5" s="1043"/>
      <c r="E5" s="1043"/>
      <c r="F5" s="1043"/>
      <c r="G5" s="1043"/>
      <c r="H5" s="1043"/>
      <c r="I5" s="1043"/>
      <c r="J5" s="1043"/>
      <c r="K5" s="1043"/>
      <c r="L5" s="1043"/>
      <c r="M5" s="1043"/>
      <c r="N5" s="1043"/>
      <c r="O5" s="1043"/>
      <c r="P5" s="1043"/>
      <c r="Q5" s="1043"/>
      <c r="R5" s="1043"/>
      <c r="S5" s="1043"/>
      <c r="T5" s="1043"/>
      <c r="U5" s="1043"/>
      <c r="V5" s="1043"/>
      <c r="W5" s="1043"/>
      <c r="X5" s="896"/>
      <c r="Y5" s="7"/>
      <c r="Z5" s="7"/>
      <c r="AA5" s="7"/>
      <c r="AB5" s="7"/>
    </row>
    <row r="6" spans="1:28">
      <c r="B6" s="1043" t="s">
        <v>191</v>
      </c>
      <c r="C6" s="1043"/>
      <c r="D6" s="1043"/>
      <c r="E6" s="1043"/>
      <c r="F6" s="1043"/>
      <c r="G6" s="1043"/>
      <c r="H6" s="1043"/>
      <c r="I6" s="1043"/>
      <c r="J6" s="1043"/>
      <c r="K6" s="1043"/>
      <c r="L6" s="1043"/>
      <c r="M6" s="1043"/>
      <c r="N6" s="1043"/>
      <c r="O6" s="1043"/>
      <c r="P6" s="1043"/>
      <c r="Q6" s="1043"/>
      <c r="R6" s="1043"/>
      <c r="S6" s="1043"/>
      <c r="T6" s="1043"/>
      <c r="U6" s="1043"/>
      <c r="V6" s="1043"/>
      <c r="W6" s="1043"/>
      <c r="X6" s="896"/>
      <c r="Y6" s="7"/>
      <c r="Z6" s="7"/>
      <c r="AA6" s="7"/>
      <c r="AB6" s="7"/>
    </row>
    <row r="7" spans="1:28">
      <c r="C7" s="7"/>
      <c r="D7" s="7"/>
      <c r="E7" s="7"/>
      <c r="F7" s="7"/>
      <c r="G7" s="7"/>
      <c r="H7" s="7"/>
      <c r="J7" s="8"/>
      <c r="M7" s="8"/>
      <c r="N7" s="8"/>
    </row>
    <row r="8" spans="1:28">
      <c r="B8" s="6"/>
      <c r="C8" s="6"/>
      <c r="D8" s="6"/>
      <c r="E8" s="6"/>
      <c r="F8" s="6"/>
      <c r="G8" s="6"/>
      <c r="H8" s="6"/>
      <c r="J8" s="8"/>
      <c r="M8" s="8"/>
      <c r="N8" s="8"/>
    </row>
    <row r="9" spans="1:28">
      <c r="A9" s="9" t="s">
        <v>60</v>
      </c>
      <c r="B9" s="10" t="s">
        <v>61</v>
      </c>
      <c r="C9" s="10"/>
      <c r="D9" s="10"/>
      <c r="E9" s="10"/>
      <c r="F9" s="10"/>
      <c r="G9" s="10"/>
      <c r="H9" s="10"/>
      <c r="I9" s="9"/>
      <c r="J9" s="11"/>
      <c r="K9" s="9"/>
      <c r="L9" s="9"/>
      <c r="M9" s="11"/>
      <c r="N9" s="11"/>
      <c r="O9" s="9"/>
      <c r="P9" s="9"/>
      <c r="Q9" s="9"/>
      <c r="S9" s="9"/>
      <c r="T9" s="9"/>
      <c r="U9" s="9"/>
      <c r="V9" s="9"/>
      <c r="W9" s="9"/>
      <c r="X9" s="393"/>
      <c r="Y9" s="9"/>
      <c r="Z9" s="9"/>
      <c r="AA9" s="9"/>
      <c r="AB9" s="9"/>
    </row>
    <row r="10" spans="1:28">
      <c r="A10" s="9"/>
      <c r="B10" s="12"/>
      <c r="C10" s="13"/>
      <c r="D10" s="13"/>
      <c r="E10" s="13"/>
      <c r="F10" s="13"/>
      <c r="G10" s="13"/>
      <c r="H10" s="13"/>
      <c r="I10" s="9"/>
      <c r="J10" s="11"/>
      <c r="K10" s="9"/>
      <c r="L10" s="9"/>
      <c r="M10" s="11"/>
      <c r="N10" s="11"/>
      <c r="O10" s="9"/>
      <c r="P10" s="9"/>
      <c r="Q10" s="9"/>
      <c r="S10" s="9"/>
      <c r="T10" s="9"/>
      <c r="U10" s="9"/>
      <c r="V10" s="9"/>
      <c r="W10" s="14" t="s">
        <v>33</v>
      </c>
      <c r="X10" s="904"/>
      <c r="Y10" s="9"/>
      <c r="Z10" s="9"/>
      <c r="AA10" s="9"/>
      <c r="AB10" s="9"/>
    </row>
    <row r="11" spans="1:28">
      <c r="A11" s="9"/>
      <c r="B11" s="1080" t="s">
        <v>226</v>
      </c>
      <c r="C11" s="1080" t="s">
        <v>4</v>
      </c>
      <c r="D11" s="1143" t="s">
        <v>213</v>
      </c>
      <c r="E11" s="1143"/>
      <c r="F11" s="1143"/>
      <c r="G11" s="1143"/>
      <c r="H11" s="1143"/>
      <c r="I11" s="1143" t="s">
        <v>214</v>
      </c>
      <c r="J11" s="1143"/>
      <c r="K11" s="1143"/>
      <c r="L11" s="1143"/>
      <c r="M11" s="1143"/>
      <c r="N11" s="1080" t="s">
        <v>215</v>
      </c>
      <c r="O11" s="1080"/>
      <c r="P11" s="1080"/>
      <c r="Q11" s="1080"/>
      <c r="R11" s="1080"/>
      <c r="S11" s="1080" t="s">
        <v>540</v>
      </c>
      <c r="T11" s="1080"/>
      <c r="U11" s="1080"/>
      <c r="V11" s="1080"/>
      <c r="W11" s="1080"/>
      <c r="X11" s="895"/>
      <c r="Y11" s="9"/>
      <c r="Z11" s="9"/>
      <c r="AA11" s="9"/>
      <c r="AB11" s="9"/>
    </row>
    <row r="12" spans="1:28" s="15" customFormat="1">
      <c r="A12" s="9"/>
      <c r="B12" s="1080"/>
      <c r="C12" s="1080"/>
      <c r="D12" s="1145" t="s">
        <v>26</v>
      </c>
      <c r="E12" s="1146"/>
      <c r="F12" s="1146"/>
      <c r="G12" s="1146"/>
      <c r="H12" s="1146"/>
      <c r="I12" s="1145" t="s">
        <v>26</v>
      </c>
      <c r="J12" s="1146"/>
      <c r="K12" s="1146"/>
      <c r="L12" s="1146"/>
      <c r="M12" s="1146"/>
      <c r="N12" s="1145" t="s">
        <v>59</v>
      </c>
      <c r="O12" s="1146"/>
      <c r="P12" s="1146"/>
      <c r="Q12" s="1146"/>
      <c r="R12" s="1146"/>
      <c r="S12" s="1145" t="s">
        <v>86</v>
      </c>
      <c r="T12" s="1146"/>
      <c r="U12" s="1146"/>
      <c r="V12" s="1146"/>
      <c r="W12" s="1146"/>
      <c r="X12" s="905"/>
      <c r="Y12" s="9"/>
      <c r="Z12" s="9"/>
      <c r="AA12" s="9"/>
      <c r="AB12" s="9"/>
    </row>
    <row r="13" spans="1:28" s="18" customFormat="1" ht="48">
      <c r="A13" s="16"/>
      <c r="B13" s="1080"/>
      <c r="C13" s="1080"/>
      <c r="D13" s="17" t="s">
        <v>19</v>
      </c>
      <c r="E13" s="17" t="s">
        <v>20</v>
      </c>
      <c r="F13" s="17" t="s">
        <v>21</v>
      </c>
      <c r="G13" s="17" t="s">
        <v>622</v>
      </c>
      <c r="H13" s="17" t="s">
        <v>22</v>
      </c>
      <c r="I13" s="17" t="s">
        <v>19</v>
      </c>
      <c r="J13" s="17" t="s">
        <v>20</v>
      </c>
      <c r="K13" s="17" t="s">
        <v>21</v>
      </c>
      <c r="L13" s="17" t="s">
        <v>622</v>
      </c>
      <c r="M13" s="17" t="s">
        <v>22</v>
      </c>
      <c r="N13" s="17" t="s">
        <v>19</v>
      </c>
      <c r="O13" s="17" t="s">
        <v>20</v>
      </c>
      <c r="P13" s="17" t="s">
        <v>21</v>
      </c>
      <c r="Q13" s="17" t="s">
        <v>622</v>
      </c>
      <c r="R13" s="17" t="s">
        <v>22</v>
      </c>
      <c r="S13" s="17" t="s">
        <v>19</v>
      </c>
      <c r="T13" s="17" t="s">
        <v>20</v>
      </c>
      <c r="U13" s="17" t="s">
        <v>21</v>
      </c>
      <c r="V13" s="17" t="s">
        <v>622</v>
      </c>
      <c r="W13" s="17" t="s">
        <v>22</v>
      </c>
      <c r="X13" s="895"/>
      <c r="Y13" s="16"/>
      <c r="Z13" s="16"/>
      <c r="AA13" s="16"/>
      <c r="AB13" s="16"/>
    </row>
    <row r="14" spans="1:28" s="8" customFormat="1" ht="16">
      <c r="A14" s="19"/>
      <c r="B14" s="362"/>
      <c r="C14" s="362"/>
      <c r="D14" s="362" t="s">
        <v>56</v>
      </c>
      <c r="E14" s="362" t="s">
        <v>57</v>
      </c>
      <c r="F14" s="362" t="s">
        <v>552</v>
      </c>
      <c r="G14" s="362" t="s">
        <v>318</v>
      </c>
      <c r="H14" s="362" t="s">
        <v>623</v>
      </c>
      <c r="I14" s="362" t="s">
        <v>319</v>
      </c>
      <c r="J14" s="362" t="s">
        <v>624</v>
      </c>
      <c r="K14" s="362" t="s">
        <v>546</v>
      </c>
      <c r="L14" s="362" t="s">
        <v>547</v>
      </c>
      <c r="M14" s="362" t="s">
        <v>649</v>
      </c>
      <c r="N14" s="362" t="s">
        <v>625</v>
      </c>
      <c r="O14" s="362" t="s">
        <v>650</v>
      </c>
      <c r="P14" s="362" t="s">
        <v>626</v>
      </c>
      <c r="Q14" s="362" t="s">
        <v>627</v>
      </c>
      <c r="R14" s="362" t="s">
        <v>651</v>
      </c>
      <c r="S14" s="362" t="s">
        <v>628</v>
      </c>
      <c r="T14" s="362" t="s">
        <v>629</v>
      </c>
      <c r="U14" s="362" t="s">
        <v>652</v>
      </c>
      <c r="V14" s="362" t="s">
        <v>630</v>
      </c>
      <c r="W14" s="362" t="s">
        <v>653</v>
      </c>
      <c r="X14" s="906"/>
      <c r="Y14" s="19"/>
      <c r="Z14" s="19"/>
      <c r="AA14" s="19"/>
      <c r="AB14" s="19"/>
    </row>
    <row r="15" spans="1:28" s="8" customFormat="1">
      <c r="A15" s="11"/>
      <c r="B15" s="1">
        <v>1</v>
      </c>
      <c r="C15" s="2" t="s">
        <v>588</v>
      </c>
      <c r="D15" s="23">
        <v>0</v>
      </c>
      <c r="E15" s="37">
        <v>0</v>
      </c>
      <c r="F15" s="37">
        <v>0</v>
      </c>
      <c r="G15" s="37">
        <v>0</v>
      </c>
      <c r="H15" s="37">
        <f>D15+E15-F15-G15</f>
        <v>0</v>
      </c>
      <c r="I15" s="900">
        <f>H15</f>
        <v>0</v>
      </c>
      <c r="J15" s="37">
        <v>0</v>
      </c>
      <c r="K15" s="37">
        <v>0</v>
      </c>
      <c r="L15" s="20"/>
      <c r="M15" s="37">
        <f>I15+J15-K15-L15</f>
        <v>0</v>
      </c>
      <c r="N15" s="900">
        <f>M15</f>
        <v>0</v>
      </c>
      <c r="O15" s="37">
        <v>0</v>
      </c>
      <c r="P15" s="37">
        <v>0</v>
      </c>
      <c r="Q15" s="20"/>
      <c r="R15" s="37">
        <f>N15+O15-P15-Q15</f>
        <v>0</v>
      </c>
      <c r="S15" s="900">
        <f>R15</f>
        <v>0</v>
      </c>
      <c r="T15" s="37">
        <v>0.70479999999999998</v>
      </c>
      <c r="U15" s="37">
        <v>0</v>
      </c>
      <c r="V15" s="20"/>
      <c r="W15" s="37">
        <f>S15+T15-U15-V15</f>
        <v>0.70479999999999998</v>
      </c>
      <c r="X15" s="657"/>
      <c r="Y15" s="11"/>
      <c r="Z15" s="11"/>
      <c r="AA15" s="11"/>
      <c r="AB15" s="11"/>
    </row>
    <row r="16" spans="1:28" s="8" customFormat="1">
      <c r="A16" s="11"/>
      <c r="B16" s="3">
        <v>2</v>
      </c>
      <c r="C16" s="4" t="s">
        <v>149</v>
      </c>
      <c r="D16" s="23">
        <v>550.51260450000007</v>
      </c>
      <c r="E16" s="37">
        <v>0.44538749999999999</v>
      </c>
      <c r="F16" s="37">
        <v>0</v>
      </c>
      <c r="G16" s="37">
        <v>0</v>
      </c>
      <c r="H16" s="37">
        <f>D16+E16-F16-G16</f>
        <v>550.9579920000001</v>
      </c>
      <c r="I16" s="900">
        <f>H16</f>
        <v>550.9579920000001</v>
      </c>
      <c r="J16" s="37">
        <v>0</v>
      </c>
      <c r="K16" s="37">
        <v>0</v>
      </c>
      <c r="L16" s="20"/>
      <c r="M16" s="37">
        <f t="shared" ref="M16:M20" si="0">I16+J16-K16-L16</f>
        <v>550.9579920000001</v>
      </c>
      <c r="N16" s="900">
        <f>M16</f>
        <v>550.9579920000001</v>
      </c>
      <c r="O16" s="37">
        <v>0</v>
      </c>
      <c r="P16" s="37">
        <v>0</v>
      </c>
      <c r="Q16" s="20"/>
      <c r="R16" s="37">
        <f>N16+O16-P16-Q16</f>
        <v>550.9579920000001</v>
      </c>
      <c r="S16" s="900">
        <f>R16</f>
        <v>550.9579920000001</v>
      </c>
      <c r="T16" s="37">
        <v>0</v>
      </c>
      <c r="U16" s="37">
        <v>0</v>
      </c>
      <c r="V16" s="20"/>
      <c r="W16" s="37">
        <f>S16+T16-U16-V16</f>
        <v>550.9579920000001</v>
      </c>
      <c r="X16" s="657"/>
      <c r="Y16" s="11"/>
      <c r="Z16" s="11"/>
      <c r="AA16" s="11"/>
      <c r="AB16" s="11"/>
    </row>
    <row r="17" spans="1:28">
      <c r="A17" s="11"/>
      <c r="B17" s="3">
        <v>3</v>
      </c>
      <c r="C17" s="4" t="s">
        <v>156</v>
      </c>
      <c r="D17" s="23">
        <v>4.6050900000000006E-2</v>
      </c>
      <c r="E17" s="37">
        <v>2.4199999999999998E-3</v>
      </c>
      <c r="F17" s="37">
        <v>0</v>
      </c>
      <c r="G17" s="37">
        <v>0</v>
      </c>
      <c r="H17" s="37">
        <f t="shared" ref="H17:H20" si="1">D17+E17-F17-G17</f>
        <v>4.8470900000000004E-2</v>
      </c>
      <c r="I17" s="900">
        <f t="shared" ref="I17:I20" si="2">H17</f>
        <v>4.8470900000000004E-2</v>
      </c>
      <c r="J17" s="37">
        <v>1.189E-3</v>
      </c>
      <c r="K17" s="37">
        <v>1.4499999999999999E-3</v>
      </c>
      <c r="L17" s="901"/>
      <c r="M17" s="37">
        <f t="shared" si="0"/>
        <v>4.8209900000000007E-2</v>
      </c>
      <c r="N17" s="900">
        <f t="shared" ref="N17:N20" si="3">M17</f>
        <v>4.8209900000000007E-2</v>
      </c>
      <c r="O17" s="37">
        <v>0.05</v>
      </c>
      <c r="P17" s="37">
        <v>0</v>
      </c>
      <c r="Q17" s="901"/>
      <c r="R17" s="37">
        <f t="shared" ref="R17:R20" si="4">N17+O17-P17-Q17</f>
        <v>9.8209900000000017E-2</v>
      </c>
      <c r="S17" s="900">
        <f t="shared" ref="S17:S20" si="5">R17</f>
        <v>9.8209900000000017E-2</v>
      </c>
      <c r="T17" s="37">
        <v>0.05</v>
      </c>
      <c r="U17" s="37">
        <v>0</v>
      </c>
      <c r="V17" s="901"/>
      <c r="W17" s="37">
        <f t="shared" ref="W17:W20" si="6">S17+T17-U17-V17</f>
        <v>0.14820990000000001</v>
      </c>
      <c r="X17" s="657"/>
      <c r="Y17" s="11"/>
      <c r="Z17" s="11"/>
      <c r="AA17" s="11"/>
      <c r="AB17" s="11"/>
    </row>
    <row r="18" spans="1:28">
      <c r="A18" s="9"/>
      <c r="B18" s="3">
        <v>4</v>
      </c>
      <c r="C18" s="4" t="s">
        <v>710</v>
      </c>
      <c r="D18" s="23">
        <v>4.1471200000000007E-2</v>
      </c>
      <c r="E18" s="37">
        <v>7.7599000000000001E-3</v>
      </c>
      <c r="F18" s="37">
        <v>0</v>
      </c>
      <c r="G18" s="37">
        <v>0</v>
      </c>
      <c r="H18" s="37">
        <f t="shared" si="1"/>
        <v>4.9231100000000007E-2</v>
      </c>
      <c r="I18" s="900">
        <f t="shared" si="2"/>
        <v>4.9231100000000007E-2</v>
      </c>
      <c r="J18" s="37">
        <v>0</v>
      </c>
      <c r="K18" s="37">
        <v>0</v>
      </c>
      <c r="L18" s="20"/>
      <c r="M18" s="37">
        <f t="shared" si="0"/>
        <v>4.9231100000000007E-2</v>
      </c>
      <c r="N18" s="900">
        <f t="shared" si="3"/>
        <v>4.9231100000000007E-2</v>
      </c>
      <c r="O18" s="37">
        <v>0.01</v>
      </c>
      <c r="P18" s="37">
        <v>0</v>
      </c>
      <c r="Q18" s="20"/>
      <c r="R18" s="37">
        <f t="shared" si="4"/>
        <v>5.9231100000000009E-2</v>
      </c>
      <c r="S18" s="900">
        <f t="shared" si="5"/>
        <v>5.9231100000000009E-2</v>
      </c>
      <c r="T18" s="37">
        <v>0.01</v>
      </c>
      <c r="U18" s="37">
        <v>0</v>
      </c>
      <c r="V18" s="20"/>
      <c r="W18" s="37">
        <f t="shared" si="6"/>
        <v>6.9231100000000004E-2</v>
      </c>
      <c r="X18" s="657"/>
      <c r="Y18" s="9"/>
      <c r="Z18" s="9"/>
      <c r="AA18" s="9"/>
      <c r="AB18" s="9"/>
    </row>
    <row r="19" spans="1:28">
      <c r="A19" s="9"/>
      <c r="B19" s="3">
        <v>5</v>
      </c>
      <c r="C19" s="4" t="s">
        <v>711</v>
      </c>
      <c r="D19" s="23">
        <v>0.1295559</v>
      </c>
      <c r="E19" s="37">
        <v>0</v>
      </c>
      <c r="F19" s="37">
        <v>0</v>
      </c>
      <c r="G19" s="37">
        <v>0</v>
      </c>
      <c r="H19" s="37">
        <f t="shared" si="1"/>
        <v>0.1295559</v>
      </c>
      <c r="I19" s="900">
        <f t="shared" si="2"/>
        <v>0.1295559</v>
      </c>
      <c r="J19" s="37">
        <v>0</v>
      </c>
      <c r="K19" s="37">
        <v>0</v>
      </c>
      <c r="L19" s="20"/>
      <c r="M19" s="37">
        <f t="shared" si="0"/>
        <v>0.1295559</v>
      </c>
      <c r="N19" s="900">
        <f t="shared" si="3"/>
        <v>0.1295559</v>
      </c>
      <c r="O19" s="37">
        <v>0</v>
      </c>
      <c r="P19" s="37">
        <v>0</v>
      </c>
      <c r="Q19" s="20"/>
      <c r="R19" s="37">
        <f t="shared" si="4"/>
        <v>0.1295559</v>
      </c>
      <c r="S19" s="900">
        <f t="shared" si="5"/>
        <v>0.1295559</v>
      </c>
      <c r="T19" s="37">
        <v>0</v>
      </c>
      <c r="U19" s="37">
        <v>0</v>
      </c>
      <c r="V19" s="20"/>
      <c r="W19" s="37">
        <f t="shared" si="6"/>
        <v>0.1295559</v>
      </c>
      <c r="X19" s="657"/>
      <c r="Y19" s="9"/>
      <c r="Z19" s="9"/>
      <c r="AA19" s="9"/>
      <c r="AB19" s="9"/>
    </row>
    <row r="20" spans="1:28" s="25" customFormat="1">
      <c r="A20" s="9"/>
      <c r="B20" s="3">
        <v>6</v>
      </c>
      <c r="C20" s="4" t="s">
        <v>150</v>
      </c>
      <c r="D20" s="23">
        <v>0</v>
      </c>
      <c r="E20" s="37">
        <v>0</v>
      </c>
      <c r="F20" s="37">
        <v>0</v>
      </c>
      <c r="G20" s="37">
        <v>0</v>
      </c>
      <c r="H20" s="37">
        <f t="shared" si="1"/>
        <v>0</v>
      </c>
      <c r="I20" s="900">
        <f t="shared" si="2"/>
        <v>0</v>
      </c>
      <c r="J20" s="37">
        <v>0</v>
      </c>
      <c r="K20" s="37">
        <v>0</v>
      </c>
      <c r="L20" s="20"/>
      <c r="M20" s="37">
        <f t="shared" si="0"/>
        <v>0</v>
      </c>
      <c r="N20" s="900">
        <f t="shared" si="3"/>
        <v>0</v>
      </c>
      <c r="O20" s="37">
        <v>0</v>
      </c>
      <c r="P20" s="37">
        <v>0</v>
      </c>
      <c r="Q20" s="20"/>
      <c r="R20" s="37">
        <f t="shared" si="4"/>
        <v>0</v>
      </c>
      <c r="S20" s="900">
        <f t="shared" si="5"/>
        <v>0</v>
      </c>
      <c r="T20" s="37">
        <v>2.0051999999999999</v>
      </c>
      <c r="U20" s="37">
        <v>0</v>
      </c>
      <c r="V20" s="20"/>
      <c r="W20" s="37">
        <f t="shared" si="6"/>
        <v>2.0051999999999999</v>
      </c>
      <c r="X20" s="657"/>
      <c r="Y20" s="9"/>
      <c r="Z20" s="9"/>
      <c r="AA20" s="9"/>
      <c r="AB20" s="9"/>
    </row>
    <row r="21" spans="1:28" s="25" customFormat="1">
      <c r="A21" s="26"/>
      <c r="B21" s="22"/>
      <c r="C21" s="27"/>
      <c r="D21" s="23"/>
      <c r="E21" s="902"/>
      <c r="F21" s="902"/>
      <c r="G21" s="902"/>
      <c r="H21" s="902"/>
      <c r="I21" s="414"/>
      <c r="J21" s="28"/>
      <c r="K21" s="28"/>
      <c r="L21" s="902"/>
      <c r="M21" s="414"/>
      <c r="N21" s="414"/>
      <c r="O21" s="28"/>
      <c r="P21" s="28"/>
      <c r="Q21" s="902"/>
      <c r="R21" s="414"/>
      <c r="S21" s="414"/>
      <c r="T21" s="28"/>
      <c r="U21" s="28"/>
      <c r="V21" s="902"/>
      <c r="W21" s="414"/>
      <c r="X21" s="393"/>
      <c r="Y21" s="26"/>
      <c r="Z21" s="26"/>
      <c r="AA21" s="26"/>
      <c r="AB21" s="26"/>
    </row>
    <row r="22" spans="1:28" ht="17">
      <c r="A22" s="26"/>
      <c r="B22" s="29"/>
      <c r="C22" s="30" t="s">
        <v>23</v>
      </c>
      <c r="D22" s="31">
        <f>SUM(D15:D20)</f>
        <v>550.72968250000008</v>
      </c>
      <c r="E22" s="31">
        <f t="shared" ref="E22:W22" si="7">SUM(E15:E20)</f>
        <v>0.45556739999999996</v>
      </c>
      <c r="F22" s="31">
        <f t="shared" si="7"/>
        <v>0</v>
      </c>
      <c r="G22" s="31">
        <f t="shared" si="7"/>
        <v>0</v>
      </c>
      <c r="H22" s="31">
        <f t="shared" si="7"/>
        <v>551.18524990000014</v>
      </c>
      <c r="I22" s="31">
        <f t="shared" si="7"/>
        <v>551.18524990000014</v>
      </c>
      <c r="J22" s="31">
        <f t="shared" si="7"/>
        <v>1.189E-3</v>
      </c>
      <c r="K22" s="31">
        <f t="shared" si="7"/>
        <v>1.4499999999999999E-3</v>
      </c>
      <c r="L22" s="31">
        <f t="shared" si="7"/>
        <v>0</v>
      </c>
      <c r="M22" s="814">
        <f t="shared" ref="M22" si="8">I22+J22-K22-L22</f>
        <v>551.18498890000012</v>
      </c>
      <c r="N22" s="31">
        <f t="shared" si="7"/>
        <v>551.18498890000012</v>
      </c>
      <c r="O22" s="31">
        <f t="shared" si="7"/>
        <v>6.0000000000000005E-2</v>
      </c>
      <c r="P22" s="31">
        <f t="shared" si="7"/>
        <v>0</v>
      </c>
      <c r="Q22" s="31">
        <f t="shared" si="7"/>
        <v>0</v>
      </c>
      <c r="R22" s="31">
        <f t="shared" si="7"/>
        <v>551.24498890000018</v>
      </c>
      <c r="S22" s="31">
        <f t="shared" si="7"/>
        <v>551.24498890000018</v>
      </c>
      <c r="T22" s="31">
        <f t="shared" si="7"/>
        <v>2.77</v>
      </c>
      <c r="U22" s="31">
        <f t="shared" si="7"/>
        <v>0</v>
      </c>
      <c r="V22" s="31">
        <f t="shared" si="7"/>
        <v>0</v>
      </c>
      <c r="W22" s="31">
        <f t="shared" si="7"/>
        <v>554.01498890000005</v>
      </c>
      <c r="X22" s="907"/>
      <c r="Y22" s="26"/>
      <c r="Z22" s="26"/>
      <c r="AA22" s="26"/>
      <c r="AB22" s="26"/>
    </row>
    <row r="23" spans="1:28">
      <c r="A23" s="9"/>
      <c r="B23" s="10"/>
      <c r="C23" s="13"/>
      <c r="D23" s="13"/>
      <c r="E23" s="13"/>
      <c r="F23" s="13"/>
      <c r="G23" s="13"/>
      <c r="H23" s="13"/>
      <c r="I23" s="9"/>
      <c r="J23" s="11"/>
      <c r="K23" s="9"/>
      <c r="L23" s="9"/>
      <c r="M23" s="11"/>
      <c r="N23" s="11"/>
      <c r="O23" s="9"/>
      <c r="P23" s="9"/>
      <c r="Q23" s="9"/>
      <c r="R23" s="9"/>
      <c r="S23" s="9"/>
      <c r="T23" s="9"/>
      <c r="U23" s="9"/>
      <c r="V23" s="9"/>
      <c r="W23" s="9"/>
      <c r="X23" s="393"/>
      <c r="Y23" s="9"/>
      <c r="Z23" s="9"/>
      <c r="AA23" s="9"/>
      <c r="AB23" s="9"/>
    </row>
    <row r="24" spans="1:28">
      <c r="A24" s="9"/>
      <c r="B24" s="1142"/>
      <c r="C24" s="1142"/>
      <c r="D24" s="1142"/>
      <c r="E24" s="1142"/>
      <c r="F24" s="1142"/>
      <c r="G24" s="1142"/>
      <c r="H24" s="13"/>
      <c r="I24" s="9"/>
      <c r="J24" s="11"/>
      <c r="K24" s="9"/>
      <c r="L24" s="9"/>
      <c r="M24" s="11"/>
      <c r="N24" s="11"/>
      <c r="O24" s="9"/>
      <c r="P24" s="9"/>
      <c r="Q24" s="9"/>
      <c r="R24" s="9"/>
      <c r="S24" s="9"/>
      <c r="T24" s="9"/>
      <c r="U24" s="9"/>
      <c r="V24" s="9"/>
      <c r="W24" s="9"/>
      <c r="X24" s="393"/>
      <c r="Y24" s="9"/>
      <c r="Z24" s="9"/>
      <c r="AA24" s="9"/>
      <c r="AB24" s="9"/>
    </row>
    <row r="25" spans="1:28">
      <c r="A25" s="9"/>
      <c r="B25" s="10"/>
      <c r="C25" s="13"/>
      <c r="D25" s="13"/>
      <c r="E25" s="654"/>
      <c r="F25" s="13"/>
      <c r="G25" s="13"/>
      <c r="H25" s="13"/>
      <c r="I25" s="9"/>
      <c r="J25" s="11"/>
      <c r="K25" s="9"/>
      <c r="L25" s="9"/>
      <c r="M25" s="11"/>
      <c r="N25" s="11"/>
      <c r="O25" s="9"/>
      <c r="P25" s="9"/>
      <c r="Q25" s="9"/>
      <c r="R25" s="9"/>
      <c r="S25" s="9"/>
      <c r="T25" s="9"/>
      <c r="U25" s="9"/>
      <c r="V25" s="9"/>
      <c r="W25" s="9"/>
      <c r="X25" s="393"/>
      <c r="Y25" s="9"/>
      <c r="Z25" s="9"/>
      <c r="AA25" s="9"/>
      <c r="AB25" s="9"/>
    </row>
    <row r="26" spans="1:28">
      <c r="A26" s="9"/>
      <c r="B26" s="10"/>
      <c r="C26" s="13"/>
      <c r="D26" s="13"/>
      <c r="E26" s="13"/>
      <c r="F26" s="13"/>
      <c r="G26" s="13"/>
      <c r="H26" s="13"/>
      <c r="I26" s="9"/>
      <c r="J26" s="11"/>
      <c r="K26" s="9"/>
      <c r="L26" s="9"/>
      <c r="M26" s="11"/>
      <c r="N26" s="11"/>
      <c r="O26" s="9"/>
      <c r="P26" s="9"/>
      <c r="Q26" s="9"/>
      <c r="R26" s="9"/>
      <c r="S26" s="9"/>
      <c r="T26" s="9"/>
      <c r="U26" s="9"/>
      <c r="V26" s="9"/>
      <c r="W26" s="14" t="s">
        <v>33</v>
      </c>
      <c r="X26" s="904"/>
      <c r="Y26" s="9"/>
      <c r="Z26" s="9"/>
      <c r="AA26" s="9"/>
      <c r="AB26" s="9"/>
    </row>
    <row r="27" spans="1:28">
      <c r="A27" s="9"/>
      <c r="B27" s="1080" t="s">
        <v>226</v>
      </c>
      <c r="C27" s="1080" t="s">
        <v>4</v>
      </c>
      <c r="D27" s="1127" t="s">
        <v>541</v>
      </c>
      <c r="E27" s="1127"/>
      <c r="F27" s="1127"/>
      <c r="G27" s="1127"/>
      <c r="H27" s="1127"/>
      <c r="I27" s="1127" t="s">
        <v>542</v>
      </c>
      <c r="J27" s="1127"/>
      <c r="K27" s="1127"/>
      <c r="L27" s="1127"/>
      <c r="M27" s="1127"/>
      <c r="N27" s="1127" t="s">
        <v>543</v>
      </c>
      <c r="O27" s="1127"/>
      <c r="P27" s="1127"/>
      <c r="Q27" s="1127"/>
      <c r="R27" s="1127"/>
      <c r="S27" s="1127" t="s">
        <v>544</v>
      </c>
      <c r="T27" s="1127"/>
      <c r="U27" s="1127"/>
      <c r="V27" s="1127"/>
      <c r="W27" s="1127"/>
      <c r="X27" s="908"/>
      <c r="Y27" s="9"/>
      <c r="Z27" s="9"/>
      <c r="AA27" s="9"/>
      <c r="AB27" s="9"/>
    </row>
    <row r="28" spans="1:28" s="15" customFormat="1">
      <c r="A28" s="9"/>
      <c r="B28" s="1080"/>
      <c r="C28" s="1080"/>
      <c r="D28" s="1143" t="s">
        <v>86</v>
      </c>
      <c r="E28" s="1144"/>
      <c r="F28" s="1144"/>
      <c r="G28" s="1144"/>
      <c r="H28" s="1144"/>
      <c r="I28" s="1143" t="s">
        <v>86</v>
      </c>
      <c r="J28" s="1144"/>
      <c r="K28" s="1144"/>
      <c r="L28" s="1144"/>
      <c r="M28" s="1144"/>
      <c r="N28" s="1143" t="s">
        <v>86</v>
      </c>
      <c r="O28" s="1144"/>
      <c r="P28" s="1144"/>
      <c r="Q28" s="1144"/>
      <c r="R28" s="1144"/>
      <c r="S28" s="1143" t="s">
        <v>86</v>
      </c>
      <c r="T28" s="1144"/>
      <c r="U28" s="1144"/>
      <c r="V28" s="1144"/>
      <c r="W28" s="1144"/>
      <c r="X28" s="909"/>
      <c r="Y28" s="9"/>
      <c r="Z28" s="9"/>
      <c r="AA28" s="9"/>
      <c r="AB28" s="9"/>
    </row>
    <row r="29" spans="1:28" s="18" customFormat="1" ht="48">
      <c r="A29" s="16"/>
      <c r="B29" s="1080"/>
      <c r="C29" s="1080"/>
      <c r="D29" s="32" t="s">
        <v>19</v>
      </c>
      <c r="E29" s="32" t="s">
        <v>20</v>
      </c>
      <c r="F29" s="32" t="s">
        <v>21</v>
      </c>
      <c r="G29" s="17" t="s">
        <v>622</v>
      </c>
      <c r="H29" s="32" t="s">
        <v>22</v>
      </c>
      <c r="I29" s="32" t="s">
        <v>19</v>
      </c>
      <c r="J29" s="32" t="s">
        <v>20</v>
      </c>
      <c r="K29" s="32" t="s">
        <v>21</v>
      </c>
      <c r="L29" s="17" t="s">
        <v>622</v>
      </c>
      <c r="M29" s="32" t="s">
        <v>22</v>
      </c>
      <c r="N29" s="32" t="s">
        <v>19</v>
      </c>
      <c r="O29" s="32" t="s">
        <v>20</v>
      </c>
      <c r="P29" s="32" t="s">
        <v>21</v>
      </c>
      <c r="Q29" s="17" t="s">
        <v>622</v>
      </c>
      <c r="R29" s="32" t="s">
        <v>22</v>
      </c>
      <c r="S29" s="32" t="s">
        <v>19</v>
      </c>
      <c r="T29" s="32" t="s">
        <v>20</v>
      </c>
      <c r="U29" s="32" t="s">
        <v>21</v>
      </c>
      <c r="V29" s="17" t="s">
        <v>622</v>
      </c>
      <c r="W29" s="32" t="s">
        <v>22</v>
      </c>
      <c r="X29" s="908"/>
      <c r="Y29" s="9"/>
      <c r="Z29" s="9"/>
      <c r="AA29" s="9"/>
      <c r="AB29" s="9"/>
    </row>
    <row r="30" spans="1:28" s="8" customFormat="1" ht="16">
      <c r="A30" s="19"/>
      <c r="B30" s="362"/>
      <c r="C30" s="362"/>
      <c r="D30" s="362" t="s">
        <v>631</v>
      </c>
      <c r="E30" s="362" t="s">
        <v>632</v>
      </c>
      <c r="F30" s="362" t="s">
        <v>633</v>
      </c>
      <c r="G30" s="362" t="s">
        <v>654</v>
      </c>
      <c r="H30" s="362" t="s">
        <v>655</v>
      </c>
      <c r="I30" s="362" t="s">
        <v>656</v>
      </c>
      <c r="J30" s="362" t="s">
        <v>657</v>
      </c>
      <c r="K30" s="362" t="s">
        <v>658</v>
      </c>
      <c r="L30" s="362" t="s">
        <v>659</v>
      </c>
      <c r="M30" s="362" t="s">
        <v>660</v>
      </c>
      <c r="N30" s="362" t="s">
        <v>661</v>
      </c>
      <c r="O30" s="362" t="s">
        <v>662</v>
      </c>
      <c r="P30" s="362" t="s">
        <v>663</v>
      </c>
      <c r="Q30" s="362" t="s">
        <v>664</v>
      </c>
      <c r="R30" s="362" t="s">
        <v>665</v>
      </c>
      <c r="S30" s="362" t="s">
        <v>666</v>
      </c>
      <c r="T30" s="362" t="s">
        <v>667</v>
      </c>
      <c r="U30" s="362" t="s">
        <v>668</v>
      </c>
      <c r="V30" s="362" t="s">
        <v>669</v>
      </c>
      <c r="W30" s="362" t="s">
        <v>670</v>
      </c>
      <c r="X30" s="906"/>
      <c r="Y30" s="9"/>
      <c r="Z30" s="9"/>
      <c r="AA30" s="9"/>
      <c r="AB30" s="9"/>
    </row>
    <row r="31" spans="1:28" s="8" customFormat="1">
      <c r="A31" s="11"/>
      <c r="B31" s="1">
        <v>1</v>
      </c>
      <c r="C31" s="2" t="s">
        <v>588</v>
      </c>
      <c r="D31" s="37">
        <f>W15</f>
        <v>0.70479999999999998</v>
      </c>
      <c r="E31" s="37">
        <v>0</v>
      </c>
      <c r="F31" s="37">
        <v>0</v>
      </c>
      <c r="G31" s="20"/>
      <c r="H31" s="37">
        <f>D31+E31-F31-G31</f>
        <v>0.70479999999999998</v>
      </c>
      <c r="I31" s="900">
        <f>H31</f>
        <v>0.70479999999999998</v>
      </c>
      <c r="J31" s="37">
        <v>0</v>
      </c>
      <c r="K31" s="37">
        <v>0</v>
      </c>
      <c r="L31" s="20"/>
      <c r="M31" s="37">
        <f>I31+J31-K31-L31</f>
        <v>0.70479999999999998</v>
      </c>
      <c r="N31" s="900">
        <f>M31</f>
        <v>0.70479999999999998</v>
      </c>
      <c r="O31" s="37">
        <v>0</v>
      </c>
      <c r="P31" s="37">
        <v>0</v>
      </c>
      <c r="Q31" s="20"/>
      <c r="R31" s="37">
        <f>N31+O31-P31-Q31</f>
        <v>0.70479999999999998</v>
      </c>
      <c r="S31" s="900">
        <f>R31</f>
        <v>0.70479999999999998</v>
      </c>
      <c r="T31" s="37">
        <v>0</v>
      </c>
      <c r="U31" s="37">
        <v>0</v>
      </c>
      <c r="V31" s="20"/>
      <c r="W31" s="37">
        <f>S31+T31-U31-V31</f>
        <v>0.70479999999999998</v>
      </c>
      <c r="X31" s="657"/>
      <c r="Y31" s="9"/>
      <c r="Z31" s="9"/>
      <c r="AA31" s="9"/>
      <c r="AB31" s="9"/>
    </row>
    <row r="32" spans="1:28" s="8" customFormat="1">
      <c r="A32" s="11"/>
      <c r="B32" s="3">
        <v>2</v>
      </c>
      <c r="C32" s="4" t="s">
        <v>149</v>
      </c>
      <c r="D32" s="37">
        <f>W16</f>
        <v>550.9579920000001</v>
      </c>
      <c r="E32" s="37">
        <v>0</v>
      </c>
      <c r="F32" s="37">
        <v>0</v>
      </c>
      <c r="G32" s="20"/>
      <c r="H32" s="37">
        <f>D32+E32-F32-G32</f>
        <v>550.9579920000001</v>
      </c>
      <c r="I32" s="900">
        <f>H32</f>
        <v>550.9579920000001</v>
      </c>
      <c r="J32" s="37">
        <v>0</v>
      </c>
      <c r="K32" s="37">
        <v>0</v>
      </c>
      <c r="L32" s="20"/>
      <c r="M32" s="37">
        <f>I32+J32-K32-L32</f>
        <v>550.9579920000001</v>
      </c>
      <c r="N32" s="900">
        <f>M32</f>
        <v>550.9579920000001</v>
      </c>
      <c r="O32" s="37">
        <v>0</v>
      </c>
      <c r="P32" s="37">
        <v>0</v>
      </c>
      <c r="Q32" s="20"/>
      <c r="R32" s="37">
        <f>N32+O32-P32-Q32</f>
        <v>550.9579920000001</v>
      </c>
      <c r="S32" s="900">
        <f>R32</f>
        <v>550.9579920000001</v>
      </c>
      <c r="T32" s="37">
        <v>0</v>
      </c>
      <c r="U32" s="37">
        <v>0</v>
      </c>
      <c r="V32" s="20"/>
      <c r="W32" s="37">
        <f>S32+T32-U32-V32</f>
        <v>550.9579920000001</v>
      </c>
      <c r="X32" s="657"/>
      <c r="Y32" s="9"/>
      <c r="Z32" s="9"/>
      <c r="AA32" s="9"/>
      <c r="AB32" s="9"/>
    </row>
    <row r="33" spans="1:41">
      <c r="A33" s="11"/>
      <c r="B33" s="3">
        <v>3</v>
      </c>
      <c r="C33" s="4" t="s">
        <v>156</v>
      </c>
      <c r="D33" s="37">
        <f t="shared" ref="D33:D36" si="9">W17</f>
        <v>0.14820990000000001</v>
      </c>
      <c r="E33" s="37">
        <v>0.01</v>
      </c>
      <c r="F33" s="37">
        <v>0</v>
      </c>
      <c r="G33" s="901"/>
      <c r="H33" s="37">
        <f t="shared" ref="H33:H36" si="10">D33+E33-F33-G33</f>
        <v>0.15820990000000001</v>
      </c>
      <c r="I33" s="900">
        <f t="shared" ref="I33:I36" si="11">H33</f>
        <v>0.15820990000000001</v>
      </c>
      <c r="J33" s="37">
        <v>0.01</v>
      </c>
      <c r="K33" s="37">
        <v>0</v>
      </c>
      <c r="L33" s="901"/>
      <c r="M33" s="37">
        <f t="shared" ref="M33:M36" si="12">I33+J33-K33-L33</f>
        <v>0.16820990000000002</v>
      </c>
      <c r="N33" s="900">
        <f t="shared" ref="N33:N36" si="13">M33</f>
        <v>0.16820990000000002</v>
      </c>
      <c r="O33" s="37">
        <v>0.01</v>
      </c>
      <c r="P33" s="37">
        <v>0</v>
      </c>
      <c r="Q33" s="901"/>
      <c r="R33" s="37">
        <f t="shared" ref="R33:R36" si="14">N33+O33-P33-Q33</f>
        <v>0.17820990000000003</v>
      </c>
      <c r="S33" s="900">
        <f t="shared" ref="S33:S36" si="15">R33</f>
        <v>0.17820990000000003</v>
      </c>
      <c r="T33" s="37">
        <v>0.01</v>
      </c>
      <c r="U33" s="37">
        <v>0</v>
      </c>
      <c r="V33" s="901"/>
      <c r="W33" s="37">
        <f t="shared" ref="W33:W36" si="16">S33+T33-U33-V33</f>
        <v>0.18820990000000004</v>
      </c>
      <c r="X33" s="657"/>
      <c r="Y33" s="9"/>
      <c r="Z33" s="9"/>
      <c r="AA33" s="9"/>
      <c r="AB33" s="9"/>
    </row>
    <row r="34" spans="1:41">
      <c r="A34" s="9"/>
      <c r="B34" s="3">
        <v>4</v>
      </c>
      <c r="C34" s="4" t="s">
        <v>710</v>
      </c>
      <c r="D34" s="37">
        <f t="shared" si="9"/>
        <v>6.9231100000000004E-2</v>
      </c>
      <c r="E34" s="37">
        <v>0.01</v>
      </c>
      <c r="F34" s="37">
        <v>0</v>
      </c>
      <c r="G34" s="20"/>
      <c r="H34" s="37">
        <f t="shared" si="10"/>
        <v>7.9231099999999999E-2</v>
      </c>
      <c r="I34" s="900">
        <f t="shared" si="11"/>
        <v>7.9231099999999999E-2</v>
      </c>
      <c r="J34" s="37">
        <v>0.01</v>
      </c>
      <c r="K34" s="37">
        <v>0</v>
      </c>
      <c r="L34" s="20"/>
      <c r="M34" s="37">
        <f t="shared" si="12"/>
        <v>8.9231099999999994E-2</v>
      </c>
      <c r="N34" s="900">
        <f t="shared" si="13"/>
        <v>8.9231099999999994E-2</v>
      </c>
      <c r="O34" s="37">
        <v>0.01</v>
      </c>
      <c r="P34" s="37">
        <v>0</v>
      </c>
      <c r="Q34" s="20"/>
      <c r="R34" s="37">
        <f t="shared" si="14"/>
        <v>9.9231099999999989E-2</v>
      </c>
      <c r="S34" s="900">
        <f t="shared" si="15"/>
        <v>9.9231099999999989E-2</v>
      </c>
      <c r="T34" s="37">
        <v>0.01</v>
      </c>
      <c r="U34" s="37">
        <v>0</v>
      </c>
      <c r="V34" s="20"/>
      <c r="W34" s="37">
        <f t="shared" si="16"/>
        <v>0.10923109999999998</v>
      </c>
      <c r="X34" s="657"/>
      <c r="Y34" s="9"/>
      <c r="Z34" s="9"/>
      <c r="AA34" s="9"/>
      <c r="AB34" s="9"/>
    </row>
    <row r="35" spans="1:41">
      <c r="A35" s="9"/>
      <c r="B35" s="3">
        <v>5</v>
      </c>
      <c r="C35" s="4" t="s">
        <v>711</v>
      </c>
      <c r="D35" s="37">
        <f t="shared" si="9"/>
        <v>0.1295559</v>
      </c>
      <c r="E35" s="37">
        <v>0</v>
      </c>
      <c r="F35" s="37">
        <v>0</v>
      </c>
      <c r="G35" s="20"/>
      <c r="H35" s="37">
        <f t="shared" si="10"/>
        <v>0.1295559</v>
      </c>
      <c r="I35" s="900">
        <f t="shared" si="11"/>
        <v>0.1295559</v>
      </c>
      <c r="J35" s="37">
        <v>0</v>
      </c>
      <c r="K35" s="37">
        <v>0</v>
      </c>
      <c r="L35" s="20"/>
      <c r="M35" s="37">
        <f t="shared" si="12"/>
        <v>0.1295559</v>
      </c>
      <c r="N35" s="900">
        <f t="shared" si="13"/>
        <v>0.1295559</v>
      </c>
      <c r="O35" s="37">
        <v>0</v>
      </c>
      <c r="P35" s="37">
        <v>0</v>
      </c>
      <c r="Q35" s="20"/>
      <c r="R35" s="37">
        <f t="shared" si="14"/>
        <v>0.1295559</v>
      </c>
      <c r="S35" s="900">
        <f t="shared" si="15"/>
        <v>0.1295559</v>
      </c>
      <c r="T35" s="37">
        <v>0</v>
      </c>
      <c r="U35" s="37">
        <v>0</v>
      </c>
      <c r="V35" s="20"/>
      <c r="W35" s="37">
        <f t="shared" si="16"/>
        <v>0.1295559</v>
      </c>
      <c r="X35" s="657"/>
      <c r="Y35" s="9"/>
      <c r="Z35" s="9"/>
      <c r="AA35" s="9"/>
      <c r="AB35" s="9"/>
    </row>
    <row r="36" spans="1:41" s="25" customFormat="1">
      <c r="A36" s="9"/>
      <c r="B36" s="3">
        <v>6</v>
      </c>
      <c r="C36" s="4" t="s">
        <v>150</v>
      </c>
      <c r="D36" s="37">
        <f t="shared" si="9"/>
        <v>2.0051999999999999</v>
      </c>
      <c r="E36" s="37">
        <v>0</v>
      </c>
      <c r="F36" s="37">
        <v>0</v>
      </c>
      <c r="G36" s="20"/>
      <c r="H36" s="37">
        <f t="shared" si="10"/>
        <v>2.0051999999999999</v>
      </c>
      <c r="I36" s="900">
        <f t="shared" si="11"/>
        <v>2.0051999999999999</v>
      </c>
      <c r="J36" s="37">
        <v>0</v>
      </c>
      <c r="K36" s="37">
        <v>0</v>
      </c>
      <c r="L36" s="20"/>
      <c r="M36" s="37">
        <f t="shared" si="12"/>
        <v>2.0051999999999999</v>
      </c>
      <c r="N36" s="900">
        <f t="shared" si="13"/>
        <v>2.0051999999999999</v>
      </c>
      <c r="O36" s="37">
        <v>0</v>
      </c>
      <c r="P36" s="37">
        <v>0</v>
      </c>
      <c r="Q36" s="20"/>
      <c r="R36" s="37">
        <f t="shared" si="14"/>
        <v>2.0051999999999999</v>
      </c>
      <c r="S36" s="900">
        <f t="shared" si="15"/>
        <v>2.0051999999999999</v>
      </c>
      <c r="T36" s="37">
        <v>0</v>
      </c>
      <c r="U36" s="37">
        <v>0</v>
      </c>
      <c r="V36" s="20"/>
      <c r="W36" s="37">
        <f t="shared" si="16"/>
        <v>2.0051999999999999</v>
      </c>
      <c r="X36" s="657"/>
      <c r="Y36" s="9"/>
      <c r="Z36" s="9"/>
      <c r="AA36" s="9"/>
      <c r="AB36" s="9"/>
    </row>
    <row r="37" spans="1:41" s="25" customFormat="1">
      <c r="A37" s="26"/>
      <c r="B37" s="22"/>
      <c r="C37" s="27"/>
      <c r="D37" s="902"/>
      <c r="E37" s="902"/>
      <c r="F37" s="902"/>
      <c r="G37" s="902"/>
      <c r="H37" s="902"/>
      <c r="I37" s="414"/>
      <c r="J37" s="28"/>
      <c r="K37" s="28"/>
      <c r="L37" s="902"/>
      <c r="M37" s="414"/>
      <c r="N37" s="414"/>
      <c r="O37" s="28"/>
      <c r="P37" s="28"/>
      <c r="Q37" s="902"/>
      <c r="R37" s="414"/>
      <c r="S37" s="414"/>
      <c r="T37" s="28"/>
      <c r="U37" s="28"/>
      <c r="V37" s="902"/>
      <c r="W37" s="414"/>
      <c r="X37" s="393"/>
      <c r="Y37" s="9"/>
      <c r="Z37" s="9"/>
      <c r="AA37" s="9"/>
      <c r="AB37" s="9"/>
    </row>
    <row r="38" spans="1:41" s="25" customFormat="1" ht="17">
      <c r="A38" s="26"/>
      <c r="B38" s="29"/>
      <c r="C38" s="30" t="s">
        <v>23</v>
      </c>
      <c r="D38" s="31">
        <f>SUM(D31:D36)</f>
        <v>554.01498890000005</v>
      </c>
      <c r="E38" s="31">
        <f t="shared" ref="E38:W38" si="17">SUM(E31:E36)</f>
        <v>0.02</v>
      </c>
      <c r="F38" s="31">
        <f t="shared" si="17"/>
        <v>0</v>
      </c>
      <c r="G38" s="31">
        <f t="shared" si="17"/>
        <v>0</v>
      </c>
      <c r="H38" s="31">
        <f t="shared" si="17"/>
        <v>554.03498890000003</v>
      </c>
      <c r="I38" s="31">
        <f t="shared" si="17"/>
        <v>554.03498890000003</v>
      </c>
      <c r="J38" s="31">
        <f t="shared" si="17"/>
        <v>0.02</v>
      </c>
      <c r="K38" s="31">
        <f t="shared" si="17"/>
        <v>0</v>
      </c>
      <c r="L38" s="31">
        <f t="shared" si="17"/>
        <v>0</v>
      </c>
      <c r="M38" s="31">
        <f t="shared" si="17"/>
        <v>554.05498890000001</v>
      </c>
      <c r="N38" s="31">
        <f t="shared" si="17"/>
        <v>554.05498890000001</v>
      </c>
      <c r="O38" s="31">
        <f t="shared" si="17"/>
        <v>0.02</v>
      </c>
      <c r="P38" s="31">
        <f t="shared" si="17"/>
        <v>0</v>
      </c>
      <c r="Q38" s="31">
        <f t="shared" si="17"/>
        <v>0</v>
      </c>
      <c r="R38" s="31">
        <f t="shared" si="17"/>
        <v>554.07498889999999</v>
      </c>
      <c r="S38" s="31">
        <f t="shared" si="17"/>
        <v>554.07498889999999</v>
      </c>
      <c r="T38" s="31">
        <f t="shared" si="17"/>
        <v>0.02</v>
      </c>
      <c r="U38" s="31">
        <f t="shared" si="17"/>
        <v>0</v>
      </c>
      <c r="V38" s="31">
        <f t="shared" si="17"/>
        <v>0</v>
      </c>
      <c r="W38" s="31">
        <f t="shared" si="17"/>
        <v>554.09498889999998</v>
      </c>
      <c r="X38" s="907"/>
      <c r="Y38" s="9"/>
      <c r="Z38" s="9"/>
      <c r="AA38" s="9"/>
      <c r="AB38" s="9"/>
      <c r="AC38" s="33"/>
      <c r="AD38" s="33"/>
      <c r="AE38" s="33"/>
    </row>
    <row r="39" spans="1:41">
      <c r="A39" s="9"/>
      <c r="B39" s="9"/>
      <c r="C39" s="9"/>
      <c r="D39" s="9"/>
      <c r="E39" s="9"/>
      <c r="F39" s="9"/>
      <c r="G39" s="9"/>
      <c r="H39" s="9"/>
      <c r="I39" s="9"/>
      <c r="J39" s="9"/>
      <c r="K39" s="9"/>
      <c r="L39" s="9"/>
      <c r="M39" s="9"/>
      <c r="N39" s="9"/>
      <c r="O39" s="9"/>
      <c r="P39" s="9"/>
      <c r="Q39" s="9"/>
      <c r="R39" s="9"/>
      <c r="S39" s="9"/>
      <c r="T39" s="9"/>
      <c r="U39" s="9"/>
      <c r="V39" s="9"/>
      <c r="W39" s="9"/>
      <c r="X39" s="393"/>
      <c r="Y39" s="9"/>
      <c r="Z39" s="9"/>
      <c r="AA39" s="9"/>
      <c r="AB39" s="9"/>
    </row>
    <row r="40" spans="1:41" s="15" customFormat="1">
      <c r="A40" s="9"/>
      <c r="B40" s="10" t="s">
        <v>62</v>
      </c>
      <c r="C40" s="9"/>
      <c r="D40" s="9"/>
      <c r="E40" s="9"/>
      <c r="F40" s="9"/>
      <c r="G40" s="9"/>
      <c r="H40" s="9"/>
      <c r="I40" s="9"/>
      <c r="J40" s="9"/>
      <c r="K40" s="9"/>
      <c r="L40" s="9"/>
      <c r="M40" s="9"/>
      <c r="N40" s="9"/>
      <c r="O40" s="9"/>
      <c r="P40" s="9"/>
      <c r="Q40" s="9"/>
      <c r="R40" s="9"/>
      <c r="S40" s="9"/>
      <c r="T40" s="9"/>
      <c r="U40" s="9"/>
      <c r="V40" s="9"/>
      <c r="W40" s="9"/>
      <c r="X40" s="393"/>
      <c r="Y40" s="9"/>
      <c r="Z40" s="9"/>
      <c r="AA40" s="9"/>
      <c r="AB40" s="9"/>
    </row>
    <row r="41" spans="1:41" s="18" customFormat="1">
      <c r="A41" s="9"/>
      <c r="B41" s="10"/>
      <c r="C41" s="9"/>
      <c r="D41" s="9"/>
      <c r="E41" s="9"/>
      <c r="F41" s="9"/>
      <c r="G41" s="9"/>
      <c r="H41" s="9"/>
      <c r="I41" s="9"/>
      <c r="J41" s="9"/>
      <c r="K41" s="9"/>
      <c r="L41" s="9"/>
      <c r="M41" s="9"/>
      <c r="N41" s="9"/>
      <c r="O41" s="9"/>
      <c r="P41" s="9"/>
      <c r="Q41" s="9"/>
      <c r="R41" s="9"/>
      <c r="S41" s="9"/>
      <c r="T41" s="9"/>
      <c r="U41" s="9"/>
      <c r="V41" s="9"/>
      <c r="W41" s="9"/>
      <c r="X41" s="393"/>
      <c r="Y41" s="9"/>
      <c r="Z41" s="9"/>
      <c r="AA41" s="9"/>
      <c r="AB41" s="9"/>
    </row>
    <row r="42" spans="1:41" s="8" customFormat="1">
      <c r="A42" s="9"/>
      <c r="B42" s="9"/>
      <c r="C42" s="9"/>
      <c r="D42" s="9"/>
      <c r="E42" s="9"/>
      <c r="F42" s="9"/>
      <c r="G42" s="9"/>
      <c r="H42" s="9"/>
      <c r="I42" s="9"/>
      <c r="J42" s="11"/>
      <c r="K42" s="9"/>
      <c r="L42" s="9"/>
      <c r="M42" s="11"/>
      <c r="N42" s="11"/>
      <c r="O42" s="9"/>
      <c r="P42" s="9"/>
      <c r="Q42" s="9"/>
      <c r="R42" s="14" t="s">
        <v>33</v>
      </c>
      <c r="S42" s="9"/>
      <c r="T42" s="9"/>
      <c r="U42" s="9"/>
      <c r="V42" s="9"/>
      <c r="W42" s="9"/>
      <c r="X42" s="393"/>
      <c r="Y42" s="9"/>
      <c r="Z42" s="9"/>
      <c r="AA42" s="9"/>
      <c r="AB42" s="9"/>
    </row>
    <row r="43" spans="1:41" s="8" customFormat="1">
      <c r="A43" s="9"/>
      <c r="B43" s="1080" t="s">
        <v>226</v>
      </c>
      <c r="C43" s="1080" t="s">
        <v>4</v>
      </c>
      <c r="D43" s="1143" t="s">
        <v>213</v>
      </c>
      <c r="E43" s="1143"/>
      <c r="F43" s="1143"/>
      <c r="G43" s="1143"/>
      <c r="H43" s="1143"/>
      <c r="I43" s="1143" t="s">
        <v>214</v>
      </c>
      <c r="J43" s="1143"/>
      <c r="K43" s="1143"/>
      <c r="L43" s="1143"/>
      <c r="M43" s="1143"/>
      <c r="N43" s="1127" t="s">
        <v>215</v>
      </c>
      <c r="O43" s="1127"/>
      <c r="P43" s="1127"/>
      <c r="Q43" s="1127"/>
      <c r="R43" s="1127"/>
      <c r="S43" s="1127" t="s">
        <v>540</v>
      </c>
      <c r="T43" s="1127"/>
      <c r="U43" s="1127"/>
      <c r="V43" s="1127"/>
      <c r="W43" s="1127"/>
      <c r="X43" s="908"/>
      <c r="Y43" s="9"/>
      <c r="Z43" s="9"/>
      <c r="AA43" s="9"/>
      <c r="AB43" s="9"/>
    </row>
    <row r="44" spans="1:41" s="8" customFormat="1">
      <c r="A44" s="9"/>
      <c r="B44" s="1080"/>
      <c r="C44" s="1080"/>
      <c r="D44" s="1143" t="s">
        <v>566</v>
      </c>
      <c r="E44" s="1144"/>
      <c r="F44" s="1144"/>
      <c r="G44" s="1144"/>
      <c r="H44" s="1144"/>
      <c r="I44" s="1143" t="s">
        <v>566</v>
      </c>
      <c r="J44" s="1144"/>
      <c r="K44" s="1144"/>
      <c r="L44" s="1144"/>
      <c r="M44" s="1144"/>
      <c r="N44" s="1143" t="s">
        <v>59</v>
      </c>
      <c r="O44" s="1144"/>
      <c r="P44" s="1144"/>
      <c r="Q44" s="1144"/>
      <c r="R44" s="1144"/>
      <c r="S44" s="1143" t="s">
        <v>86</v>
      </c>
      <c r="T44" s="1144"/>
      <c r="U44" s="1144"/>
      <c r="V44" s="1144"/>
      <c r="W44" s="1144"/>
      <c r="X44" s="909"/>
      <c r="Y44" s="9"/>
      <c r="Z44" s="9"/>
      <c r="AA44" s="9"/>
      <c r="AB44" s="9"/>
    </row>
    <row r="45" spans="1:41" ht="64">
      <c r="A45" s="9"/>
      <c r="B45" s="1080"/>
      <c r="C45" s="1080"/>
      <c r="D45" s="32" t="s">
        <v>39</v>
      </c>
      <c r="E45" s="32" t="s">
        <v>20</v>
      </c>
      <c r="F45" s="36" t="s">
        <v>41</v>
      </c>
      <c r="G45" s="17" t="s">
        <v>622</v>
      </c>
      <c r="H45" s="32" t="s">
        <v>40</v>
      </c>
      <c r="I45" s="32" t="s">
        <v>39</v>
      </c>
      <c r="J45" s="32" t="s">
        <v>20</v>
      </c>
      <c r="K45" s="36" t="s">
        <v>41</v>
      </c>
      <c r="L45" s="17" t="s">
        <v>622</v>
      </c>
      <c r="M45" s="32" t="s">
        <v>40</v>
      </c>
      <c r="N45" s="32" t="s">
        <v>39</v>
      </c>
      <c r="O45" s="32" t="s">
        <v>20</v>
      </c>
      <c r="P45" s="36" t="s">
        <v>41</v>
      </c>
      <c r="Q45" s="17" t="s">
        <v>622</v>
      </c>
      <c r="R45" s="32" t="s">
        <v>40</v>
      </c>
      <c r="S45" s="32" t="s">
        <v>39</v>
      </c>
      <c r="T45" s="32" t="s">
        <v>20</v>
      </c>
      <c r="U45" s="36" t="s">
        <v>41</v>
      </c>
      <c r="V45" s="17" t="s">
        <v>622</v>
      </c>
      <c r="W45" s="32" t="s">
        <v>40</v>
      </c>
      <c r="X45" s="908"/>
      <c r="Y45" s="9"/>
      <c r="Z45" s="9"/>
      <c r="AA45" s="9"/>
      <c r="AB45" s="9"/>
    </row>
    <row r="46" spans="1:41" ht="32">
      <c r="A46" s="9"/>
      <c r="B46" s="362"/>
      <c r="C46" s="362"/>
      <c r="D46" s="362" t="s">
        <v>56</v>
      </c>
      <c r="E46" s="362" t="s">
        <v>57</v>
      </c>
      <c r="F46" s="362" t="s">
        <v>552</v>
      </c>
      <c r="G46" s="362" t="s">
        <v>318</v>
      </c>
      <c r="H46" s="362" t="s">
        <v>623</v>
      </c>
      <c r="I46" s="362" t="s">
        <v>319</v>
      </c>
      <c r="J46" s="362" t="s">
        <v>624</v>
      </c>
      <c r="K46" s="362" t="s">
        <v>546</v>
      </c>
      <c r="L46" s="362" t="s">
        <v>547</v>
      </c>
      <c r="M46" s="362" t="s">
        <v>649</v>
      </c>
      <c r="N46" s="362" t="s">
        <v>625</v>
      </c>
      <c r="O46" s="362" t="s">
        <v>650</v>
      </c>
      <c r="P46" s="362" t="s">
        <v>626</v>
      </c>
      <c r="Q46" s="362" t="s">
        <v>627</v>
      </c>
      <c r="R46" s="362" t="s">
        <v>651</v>
      </c>
      <c r="S46" s="362" t="s">
        <v>628</v>
      </c>
      <c r="T46" s="362" t="s">
        <v>629</v>
      </c>
      <c r="U46" s="362" t="s">
        <v>652</v>
      </c>
      <c r="V46" s="362" t="s">
        <v>630</v>
      </c>
      <c r="W46" s="362" t="s">
        <v>653</v>
      </c>
      <c r="X46" s="908"/>
      <c r="Y46" s="795" t="s">
        <v>902</v>
      </c>
      <c r="Z46" s="795" t="s">
        <v>904</v>
      </c>
      <c r="AA46" s="795" t="s">
        <v>905</v>
      </c>
      <c r="AB46" s="795" t="s">
        <v>903</v>
      </c>
      <c r="AD46" s="693" t="s">
        <v>533</v>
      </c>
      <c r="AE46" s="693" t="s">
        <v>534</v>
      </c>
      <c r="AF46" s="693" t="s">
        <v>23</v>
      </c>
      <c r="AH46" s="687" t="s">
        <v>213</v>
      </c>
      <c r="AI46" s="687" t="s">
        <v>214</v>
      </c>
      <c r="AJ46" s="687" t="s">
        <v>215</v>
      </c>
      <c r="AK46" s="687" t="s">
        <v>540</v>
      </c>
      <c r="AL46" s="687" t="s">
        <v>541</v>
      </c>
      <c r="AM46" s="687" t="s">
        <v>542</v>
      </c>
      <c r="AN46" s="687" t="s">
        <v>543</v>
      </c>
      <c r="AO46" s="687" t="s">
        <v>544</v>
      </c>
    </row>
    <row r="47" spans="1:41">
      <c r="A47" s="9"/>
      <c r="B47" s="1">
        <v>1</v>
      </c>
      <c r="C47" s="2" t="s">
        <v>588</v>
      </c>
      <c r="D47" s="20"/>
      <c r="E47" s="20"/>
      <c r="F47" s="20"/>
      <c r="G47" s="21"/>
      <c r="H47" s="20"/>
      <c r="I47" s="22"/>
      <c r="J47" s="22"/>
      <c r="K47" s="22"/>
      <c r="L47" s="21"/>
      <c r="M47" s="22"/>
      <c r="N47" s="22"/>
      <c r="O47" s="22"/>
      <c r="P47" s="22"/>
      <c r="Q47" s="21"/>
      <c r="R47" s="22"/>
      <c r="S47" s="22"/>
      <c r="T47" s="22"/>
      <c r="U47" s="22"/>
      <c r="V47" s="21"/>
      <c r="W47" s="22"/>
      <c r="X47" s="908"/>
      <c r="Y47" s="808">
        <v>0</v>
      </c>
      <c r="Z47" s="603"/>
      <c r="AA47" s="603"/>
      <c r="AB47" s="808">
        <v>0</v>
      </c>
      <c r="AD47" s="629">
        <f t="shared" ref="AD47:AD52" si="18">N15*Y47</f>
        <v>0</v>
      </c>
      <c r="AE47" s="629">
        <f t="shared" ref="AE47:AE52" si="19">O15*Y47/2</f>
        <v>0</v>
      </c>
      <c r="AF47" s="629">
        <f>SUM(AD47:AE47)</f>
        <v>0</v>
      </c>
      <c r="AH47" s="812">
        <f t="shared" ref="AH47:AH52" si="20">IFERROR(D47/D15,0)</f>
        <v>0</v>
      </c>
      <c r="AI47" s="812">
        <f t="shared" ref="AI47:AI52" si="21">IFERROR(I47/I15,0)</f>
        <v>0</v>
      </c>
      <c r="AJ47" s="812">
        <f t="shared" ref="AJ47:AJ52" si="22">IFERROR(N47/N15,0)</f>
        <v>0</v>
      </c>
      <c r="AK47" s="812">
        <f t="shared" ref="AK47:AK52" si="23">IFERROR(S47/S15,0)</f>
        <v>0</v>
      </c>
      <c r="AL47" s="812">
        <f t="shared" ref="AL47:AL52" si="24">IFERROR(D60/D31,0)</f>
        <v>0</v>
      </c>
      <c r="AM47" s="812">
        <f t="shared" ref="AM47:AM52" si="25">IFERROR(I60/I31,0)</f>
        <v>0</v>
      </c>
      <c r="AN47" s="812">
        <f t="shared" ref="AN47:AN52" si="26">IFERROR(N60/N31,0)</f>
        <v>0</v>
      </c>
      <c r="AO47" s="812">
        <f t="shared" ref="AO47:AO52" si="27">IFERROR(S60/S31,0)</f>
        <v>0</v>
      </c>
    </row>
    <row r="48" spans="1:41" s="25" customFormat="1">
      <c r="A48" s="9"/>
      <c r="B48" s="3">
        <v>2</v>
      </c>
      <c r="C48" s="4" t="s">
        <v>149</v>
      </c>
      <c r="D48" s="37">
        <f>Capitalisaiton!S21-SUM('F4'!D49:D52)</f>
        <v>158.701561032</v>
      </c>
      <c r="E48" s="653">
        <f>IF(AH48&gt;=90%,0,IF(AH48&gt;=70%,MIN(D16*90%-D48,D16*$AB48),D16*$Y48))+E16*$Y48/2</f>
        <v>29.078823747600005</v>
      </c>
      <c r="F48" s="37">
        <v>0</v>
      </c>
      <c r="G48" s="37">
        <v>0</v>
      </c>
      <c r="H48" s="37">
        <f>D48+E48-F48-G48</f>
        <v>187.78038477960001</v>
      </c>
      <c r="I48" s="653">
        <f>H48</f>
        <v>187.78038477960001</v>
      </c>
      <c r="J48" s="653">
        <f>IF(AI48&gt;=90%,0,IF(AI48&gt;=70%,MIN(I16*90%-I48,I16*$AB48),I16*$Y48))+J16*$Y48/2</f>
        <v>29.090581977600007</v>
      </c>
      <c r="K48" s="37">
        <v>0</v>
      </c>
      <c r="L48" s="37">
        <v>0</v>
      </c>
      <c r="M48" s="37">
        <f>I48+J48-K48-L48</f>
        <v>216.87096675720002</v>
      </c>
      <c r="N48" s="653">
        <f>M48</f>
        <v>216.87096675720002</v>
      </c>
      <c r="O48" s="653">
        <f>IF(AJ48&gt;=90%,0,IF(AJ48&gt;=70%,MIN(N16*90%-N48,N16*$AB48),N16*$Y48))+O16*$Y48/2</f>
        <v>29.090581977600007</v>
      </c>
      <c r="P48" s="22"/>
      <c r="Q48" s="21"/>
      <c r="R48" s="37">
        <f>N48+O48-P48-Q48</f>
        <v>245.96154873480003</v>
      </c>
      <c r="S48" s="653">
        <f>R48</f>
        <v>245.96154873480003</v>
      </c>
      <c r="T48" s="653">
        <f>IF(AK48&gt;=90%,0,IF(AK48&gt;=70%,MIN(S16*90%-S48,S16*$AB48),S16*$Y48))+T16*$Y48/2</f>
        <v>29.090581977600007</v>
      </c>
      <c r="U48" s="22"/>
      <c r="V48" s="21"/>
      <c r="W48" s="37">
        <f>S48+T48-U48-V48</f>
        <v>275.05213071240001</v>
      </c>
      <c r="X48" s="908"/>
      <c r="Y48" s="655">
        <v>5.28E-2</v>
      </c>
      <c r="Z48" s="603">
        <v>35</v>
      </c>
      <c r="AA48" s="603">
        <f>Z48-ROUND(70%/Y48,0)</f>
        <v>22</v>
      </c>
      <c r="AB48" s="655">
        <f>30%/AA48</f>
        <v>1.3636363636363636E-2</v>
      </c>
      <c r="AD48" s="629">
        <f t="shared" si="18"/>
        <v>29.090581977600007</v>
      </c>
      <c r="AE48" s="629">
        <f t="shared" si="19"/>
        <v>0</v>
      </c>
      <c r="AF48" s="629">
        <f t="shared" ref="AF48:AF52" si="28">SUM(AD48:AE48)</f>
        <v>29.090581977600007</v>
      </c>
      <c r="AH48" s="812">
        <f t="shared" si="20"/>
        <v>0.28827961382671663</v>
      </c>
      <c r="AI48" s="812">
        <f t="shared" si="21"/>
        <v>0.34082523079109811</v>
      </c>
      <c r="AJ48" s="812">
        <f t="shared" si="22"/>
        <v>0.39362523079109812</v>
      </c>
      <c r="AK48" s="812">
        <f t="shared" si="23"/>
        <v>0.44642523079109814</v>
      </c>
      <c r="AL48" s="812">
        <f t="shared" si="24"/>
        <v>0.49922523079109804</v>
      </c>
      <c r="AM48" s="812">
        <f t="shared" si="25"/>
        <v>0.552025230791098</v>
      </c>
      <c r="AN48" s="812">
        <f t="shared" si="26"/>
        <v>0.60482523079109796</v>
      </c>
      <c r="AO48" s="812">
        <f t="shared" si="27"/>
        <v>0.65762523079109791</v>
      </c>
    </row>
    <row r="49" spans="1:41" s="25" customFormat="1">
      <c r="A49" s="9"/>
      <c r="B49" s="3">
        <v>3</v>
      </c>
      <c r="C49" s="4" t="s">
        <v>156</v>
      </c>
      <c r="D49" s="37">
        <v>1.2406397E-2</v>
      </c>
      <c r="E49" s="653">
        <f>IF(AH49&gt;=90%,0,IF(AH49&gt;=70%,MIN(D17*90%-D49,D17*$AB49),D17*$Y49))+E17*$Y49/2</f>
        <v>2.9916149700000001E-3</v>
      </c>
      <c r="F49" s="37">
        <v>0</v>
      </c>
      <c r="G49" s="37">
        <v>0</v>
      </c>
      <c r="H49" s="37">
        <f t="shared" ref="H49:H51" si="29">D49+E49-F49-G49</f>
        <v>1.539801197E-2</v>
      </c>
      <c r="I49" s="653">
        <f t="shared" ref="I49:I52" si="30">H49</f>
        <v>1.539801197E-2</v>
      </c>
      <c r="J49" s="653">
        <f>IF(AI49&gt;=90%,0,IF(AI49&gt;=70%,MIN(I17*90%-I49,I17*$AB49),I17*$Y49))+J17*$Y49/2</f>
        <v>3.1058398199999998E-3</v>
      </c>
      <c r="K49" s="37">
        <v>7.8969999999999995E-4</v>
      </c>
      <c r="L49" s="37">
        <v>0</v>
      </c>
      <c r="M49" s="37">
        <f t="shared" ref="M49:M51" si="31">I49+J49-K49-L49</f>
        <v>1.771415179E-2</v>
      </c>
      <c r="N49" s="653">
        <f t="shared" ref="N49:N52" si="32">M49</f>
        <v>1.771415179E-2</v>
      </c>
      <c r="O49" s="653">
        <f>IF(AJ49&gt;=90%,0,IF(AJ49&gt;=70%,MIN(N17*90%-N49,N17*$AB49),N17*$Y49))+O17*$Y49/2</f>
        <v>4.6341866700000001E-3</v>
      </c>
      <c r="P49" s="22"/>
      <c r="Q49" s="24"/>
      <c r="R49" s="37">
        <f t="shared" ref="R49:R51" si="33">N49+O49-P49-Q49</f>
        <v>2.2348338459999999E-2</v>
      </c>
      <c r="S49" s="653">
        <f t="shared" ref="S49:S52" si="34">R49</f>
        <v>2.2348338459999999E-2</v>
      </c>
      <c r="T49" s="653">
        <f>IF(AK49&gt;=90%,0,IF(AK49&gt;=70%,MIN(S17*90%-S49,S17*$AB49),S17*$Y49))+T17*$Y49/2</f>
        <v>7.7991866700000004E-3</v>
      </c>
      <c r="U49" s="22"/>
      <c r="V49" s="24"/>
      <c r="W49" s="37">
        <f t="shared" ref="W49:W52" si="35">S49+T49-U49-V49</f>
        <v>3.0147525129999998E-2</v>
      </c>
      <c r="X49" s="908"/>
      <c r="Y49" s="655">
        <v>6.3299999999999995E-2</v>
      </c>
      <c r="Z49" s="603">
        <v>20</v>
      </c>
      <c r="AA49" s="603">
        <f t="shared" ref="AA49:AA52" si="36">Z49-ROUND(70%/Y49,0)</f>
        <v>9</v>
      </c>
      <c r="AB49" s="655">
        <f t="shared" ref="AB49:AB52" si="37">30%/AA49</f>
        <v>3.3333333333333333E-2</v>
      </c>
      <c r="AD49" s="629">
        <f t="shared" si="18"/>
        <v>3.05168667E-3</v>
      </c>
      <c r="AE49" s="629">
        <f t="shared" si="19"/>
        <v>1.5824999999999999E-3</v>
      </c>
      <c r="AF49" s="629">
        <f t="shared" si="28"/>
        <v>4.6341866700000001E-3</v>
      </c>
      <c r="AH49" s="812">
        <f t="shared" si="20"/>
        <v>0.26940617881518053</v>
      </c>
      <c r="AI49" s="812">
        <f t="shared" si="21"/>
        <v>0.3176753881194696</v>
      </c>
      <c r="AJ49" s="812">
        <f t="shared" si="22"/>
        <v>0.36743805297252219</v>
      </c>
      <c r="AK49" s="812">
        <f t="shared" si="23"/>
        <v>0.22755688031450999</v>
      </c>
      <c r="AL49" s="812">
        <f t="shared" si="24"/>
        <v>0.2034110078341595</v>
      </c>
      <c r="AM49" s="812">
        <f t="shared" si="25"/>
        <v>0.25185346681844817</v>
      </c>
      <c r="AN49" s="812">
        <f t="shared" si="26"/>
        <v>0.29829931811385652</v>
      </c>
      <c r="AO49" s="812">
        <f t="shared" si="27"/>
        <v>0.34308467228812761</v>
      </c>
    </row>
    <row r="50" spans="1:41" s="25" customFormat="1" ht="17">
      <c r="A50" s="9"/>
      <c r="B50" s="3">
        <v>4</v>
      </c>
      <c r="C50" s="4" t="s">
        <v>710</v>
      </c>
      <c r="D50" s="37">
        <v>2.2274557E-2</v>
      </c>
      <c r="E50" s="653">
        <f>IF(AH50&gt;=90%,0,IF(AH50&gt;=70%,MIN(D18*90%-D50,D18*$AB50),D18*$Y50))+E18*$Y50/2</f>
        <v>6.8026725000000007E-3</v>
      </c>
      <c r="F50" s="37">
        <v>0</v>
      </c>
      <c r="G50" s="37">
        <v>0</v>
      </c>
      <c r="H50" s="37">
        <f t="shared" si="29"/>
        <v>2.9077229500000003E-2</v>
      </c>
      <c r="I50" s="653">
        <f t="shared" si="30"/>
        <v>2.9077229500000003E-2</v>
      </c>
      <c r="J50" s="653">
        <f>IF(AI50&gt;=90%,0,IF(AI50&gt;=70%,MIN(I18*90%-I50,I18*$AB50),I18*$Y50))+J18*$Y50/2</f>
        <v>7.3846650000000003E-3</v>
      </c>
      <c r="K50" s="37">
        <v>0</v>
      </c>
      <c r="L50" s="37">
        <v>0</v>
      </c>
      <c r="M50" s="37">
        <f t="shared" si="31"/>
        <v>3.6461894500000001E-2</v>
      </c>
      <c r="N50" s="653">
        <f t="shared" si="32"/>
        <v>3.6461894500000001E-2</v>
      </c>
      <c r="O50" s="653">
        <f>IF(AJ50&gt;=90%,0,IF(AJ50&gt;=70%,MIN(N18*90%-N50,N18*$AB50),N18*$Y50))+O18*$Y50/2</f>
        <v>2.2269330000000004E-3</v>
      </c>
      <c r="P50" s="22"/>
      <c r="Q50" s="21"/>
      <c r="R50" s="37">
        <f t="shared" si="33"/>
        <v>3.8688827500000002E-2</v>
      </c>
      <c r="S50" s="653">
        <f t="shared" si="34"/>
        <v>3.8688827500000002E-2</v>
      </c>
      <c r="T50" s="653">
        <f>IF(AK50&gt;=90%,0,IF(AK50&gt;=70%,MIN(S18*90%-S50,S18*$AB50),S18*$Y50))+T18*$Y50/2</f>
        <v>9.6346650000000023E-3</v>
      </c>
      <c r="U50" s="22"/>
      <c r="V50" s="21"/>
      <c r="W50" s="37">
        <f t="shared" si="35"/>
        <v>4.8323492500000002E-2</v>
      </c>
      <c r="X50" s="908"/>
      <c r="Y50" s="656">
        <v>0.15</v>
      </c>
      <c r="Z50" s="603">
        <v>15</v>
      </c>
      <c r="AA50" s="603">
        <f t="shared" si="36"/>
        <v>10</v>
      </c>
      <c r="AB50" s="655">
        <f t="shared" si="37"/>
        <v>0.03</v>
      </c>
      <c r="AC50" s="33"/>
      <c r="AD50" s="629">
        <f t="shared" si="18"/>
        <v>7.3846650000000003E-3</v>
      </c>
      <c r="AE50" s="629">
        <f t="shared" si="19"/>
        <v>7.5000000000000002E-4</v>
      </c>
      <c r="AF50" s="629">
        <f t="shared" si="28"/>
        <v>8.134665000000001E-3</v>
      </c>
      <c r="AH50" s="812">
        <f t="shared" si="20"/>
        <v>0.53710905399409703</v>
      </c>
      <c r="AI50" s="812">
        <f t="shared" si="21"/>
        <v>0.59062725594187415</v>
      </c>
      <c r="AJ50" s="812">
        <f t="shared" si="22"/>
        <v>0.74062725594187406</v>
      </c>
      <c r="AK50" s="812">
        <f t="shared" si="23"/>
        <v>0.65318434910038803</v>
      </c>
      <c r="AL50" s="812">
        <f t="shared" si="24"/>
        <v>0.6980026678761424</v>
      </c>
      <c r="AM50" s="812">
        <f t="shared" si="25"/>
        <v>0.75043963165979022</v>
      </c>
      <c r="AN50" s="812">
        <f t="shared" si="26"/>
        <v>0.70138203496314644</v>
      </c>
      <c r="AO50" s="812">
        <f t="shared" si="27"/>
        <v>0.66523522867326901</v>
      </c>
    </row>
    <row r="51" spans="1:41" s="25" customFormat="1" ht="17">
      <c r="A51" s="9"/>
      <c r="B51" s="3">
        <v>5</v>
      </c>
      <c r="C51" s="4" t="s">
        <v>711</v>
      </c>
      <c r="D51" s="37">
        <v>3.3758013999999996E-2</v>
      </c>
      <c r="E51" s="653">
        <f>IF(AH51&gt;=90%,0,IF(AH51&gt;=70%,MIN(D19*90%-D51,D19*$AB51),D19*$Y51))+E19*$Y51/2</f>
        <v>8.2008884699999989E-3</v>
      </c>
      <c r="F51" s="37">
        <v>0</v>
      </c>
      <c r="G51" s="37">
        <v>0</v>
      </c>
      <c r="H51" s="37">
        <f t="shared" si="29"/>
        <v>4.1958902469999997E-2</v>
      </c>
      <c r="I51" s="653">
        <f t="shared" si="30"/>
        <v>4.1958902469999997E-2</v>
      </c>
      <c r="J51" s="653">
        <f>IF(AI51&gt;=90%,0,IF(AI51&gt;=70%,MIN(I19*90%-I51,I19*$AB51),I19*$Y51))+J19*$Y51/2</f>
        <v>8.2008884699999989E-3</v>
      </c>
      <c r="K51" s="37">
        <v>0</v>
      </c>
      <c r="L51" s="37">
        <v>0</v>
      </c>
      <c r="M51" s="37">
        <f t="shared" si="31"/>
        <v>5.0159790939999997E-2</v>
      </c>
      <c r="N51" s="653">
        <f t="shared" si="32"/>
        <v>5.0159790939999997E-2</v>
      </c>
      <c r="O51" s="653">
        <f>IF(AJ51&gt;=90%,0,IF(AJ51&gt;=70%,MIN(N19*90%-N51,N19*$AB51),N19*$Y51))+O19*$Y51/2</f>
        <v>8.2008884699999989E-3</v>
      </c>
      <c r="P51" s="22"/>
      <c r="Q51" s="21"/>
      <c r="R51" s="37">
        <f t="shared" si="33"/>
        <v>5.8360679409999998E-2</v>
      </c>
      <c r="S51" s="653">
        <f t="shared" si="34"/>
        <v>5.8360679409999998E-2</v>
      </c>
      <c r="T51" s="653">
        <f>IF(AK51&gt;=90%,0,IF(AK51&gt;=70%,MIN(S19*90%-S51,S19*$AB51),S19*$Y51))+T19*$Y51/2</f>
        <v>8.2008884699999989E-3</v>
      </c>
      <c r="U51" s="22"/>
      <c r="V51" s="21"/>
      <c r="W51" s="37">
        <f t="shared" si="35"/>
        <v>6.6561567879999992E-2</v>
      </c>
      <c r="X51" s="908"/>
      <c r="Y51" s="655">
        <v>6.3299999999999995E-2</v>
      </c>
      <c r="Z51" s="603">
        <v>20</v>
      </c>
      <c r="AA51" s="603">
        <f t="shared" si="36"/>
        <v>9</v>
      </c>
      <c r="AB51" s="655">
        <f t="shared" si="37"/>
        <v>3.3333333333333333E-2</v>
      </c>
      <c r="AC51" s="33"/>
      <c r="AD51" s="629">
        <f t="shared" si="18"/>
        <v>8.2008884699999989E-3</v>
      </c>
      <c r="AE51" s="629">
        <f t="shared" si="19"/>
        <v>0</v>
      </c>
      <c r="AF51" s="629">
        <f t="shared" si="28"/>
        <v>8.2008884699999989E-3</v>
      </c>
      <c r="AH51" s="812">
        <f t="shared" si="20"/>
        <v>0.26056716830341187</v>
      </c>
      <c r="AI51" s="812">
        <f t="shared" si="21"/>
        <v>0.32386716830341183</v>
      </c>
      <c r="AJ51" s="812">
        <f t="shared" si="22"/>
        <v>0.38716716830341186</v>
      </c>
      <c r="AK51" s="812">
        <f t="shared" si="23"/>
        <v>0.45046716830341188</v>
      </c>
      <c r="AL51" s="812">
        <f t="shared" si="24"/>
        <v>0.51376716830341185</v>
      </c>
      <c r="AM51" s="812">
        <f t="shared" si="25"/>
        <v>0.57706716830341187</v>
      </c>
      <c r="AN51" s="812">
        <f t="shared" si="26"/>
        <v>0.64036716830341178</v>
      </c>
      <c r="AO51" s="812">
        <f t="shared" si="27"/>
        <v>0.70366716830341181</v>
      </c>
    </row>
    <row r="52" spans="1:41" s="25" customFormat="1" ht="17">
      <c r="A52" s="9"/>
      <c r="B52" s="3">
        <v>6</v>
      </c>
      <c r="C52" s="4" t="s">
        <v>150</v>
      </c>
      <c r="D52" s="37">
        <v>0</v>
      </c>
      <c r="E52" s="653">
        <f>IF(AH52&gt;=90%,0,IF(AH52&gt;=70%,MIN(D20*90%-D52,D20*$AB52),D20*$Y52))+E20*$Y52/2</f>
        <v>0</v>
      </c>
      <c r="F52" s="37">
        <v>0</v>
      </c>
      <c r="G52" s="37">
        <v>0</v>
      </c>
      <c r="H52" s="37">
        <f t="shared" ref="H52" si="38">D52+E52-F52-G52</f>
        <v>0</v>
      </c>
      <c r="I52" s="653">
        <f t="shared" si="30"/>
        <v>0</v>
      </c>
      <c r="J52" s="653">
        <f>IF(AI52&gt;=90%,0,IF(AI52&gt;=70%,MIN(I20*90%-I52,I20*$AB52),I20*$Y52))+J20*$Y52/2</f>
        <v>0</v>
      </c>
      <c r="K52" s="37">
        <v>0</v>
      </c>
      <c r="L52" s="37">
        <v>0</v>
      </c>
      <c r="M52" s="37">
        <f t="shared" ref="M52" si="39">I52+J52-K52-L52</f>
        <v>0</v>
      </c>
      <c r="N52" s="653">
        <f t="shared" si="32"/>
        <v>0</v>
      </c>
      <c r="O52" s="653">
        <f>IF(AJ52&gt;=90%,0,IF(AJ52&gt;=70%,MIN(N20*90%-N52,N20*$AB52),N20*$Y52))+O20*$Y52/2</f>
        <v>0</v>
      </c>
      <c r="P52" s="22"/>
      <c r="Q52" s="21"/>
      <c r="R52" s="37">
        <f t="shared" ref="R52" si="40">N52+O52-P52-Q52</f>
        <v>0</v>
      </c>
      <c r="S52" s="653">
        <f t="shared" si="34"/>
        <v>0</v>
      </c>
      <c r="T52" s="653">
        <f>IF(AK52&gt;=90%,0,IF(AK52&gt;=70%,MIN(S20*90%-S52,S20*$AB52),S20*$Y52))+T20*$Y52/2</f>
        <v>3.3486839999999997E-2</v>
      </c>
      <c r="U52" s="22"/>
      <c r="V52" s="21"/>
      <c r="W52" s="37">
        <f t="shared" si="35"/>
        <v>3.3486839999999997E-2</v>
      </c>
      <c r="X52" s="908"/>
      <c r="Y52" s="655">
        <v>3.3399999999999999E-2</v>
      </c>
      <c r="Z52" s="603">
        <v>35</v>
      </c>
      <c r="AA52" s="603">
        <f t="shared" si="36"/>
        <v>14</v>
      </c>
      <c r="AB52" s="655">
        <f t="shared" si="37"/>
        <v>2.1428571428571429E-2</v>
      </c>
      <c r="AC52" s="33"/>
      <c r="AD52" s="629">
        <f t="shared" si="18"/>
        <v>0</v>
      </c>
      <c r="AE52" s="629">
        <f t="shared" si="19"/>
        <v>0</v>
      </c>
      <c r="AF52" s="629">
        <f t="shared" si="28"/>
        <v>0</v>
      </c>
      <c r="AH52" s="812">
        <f t="shared" si="20"/>
        <v>0</v>
      </c>
      <c r="AI52" s="812">
        <f t="shared" si="21"/>
        <v>0</v>
      </c>
      <c r="AJ52" s="812">
        <f t="shared" si="22"/>
        <v>0</v>
      </c>
      <c r="AK52" s="812">
        <f t="shared" si="23"/>
        <v>0</v>
      </c>
      <c r="AL52" s="812">
        <f t="shared" si="24"/>
        <v>1.67E-2</v>
      </c>
      <c r="AM52" s="812">
        <f t="shared" si="25"/>
        <v>5.0099999999999999E-2</v>
      </c>
      <c r="AN52" s="812">
        <f t="shared" si="26"/>
        <v>8.3499999999999991E-2</v>
      </c>
      <c r="AO52" s="812">
        <f t="shared" si="27"/>
        <v>0.11689999999999999</v>
      </c>
    </row>
    <row r="53" spans="1:41" s="25" customFormat="1" ht="17">
      <c r="A53" s="9"/>
      <c r="B53" s="29"/>
      <c r="C53" s="30" t="s">
        <v>23</v>
      </c>
      <c r="D53" s="38">
        <f>SUM(D47:D52)</f>
        <v>158.77000000000001</v>
      </c>
      <c r="E53" s="38">
        <f t="shared" ref="E53:W53" si="41">SUM(E47:E52)</f>
        <v>29.096818923540006</v>
      </c>
      <c r="F53" s="38">
        <f t="shared" si="41"/>
        <v>0</v>
      </c>
      <c r="G53" s="38">
        <f t="shared" si="41"/>
        <v>0</v>
      </c>
      <c r="H53" s="38">
        <f t="shared" si="41"/>
        <v>187.86681892354</v>
      </c>
      <c r="I53" s="38">
        <f t="shared" si="41"/>
        <v>187.86681892354</v>
      </c>
      <c r="J53" s="38">
        <f t="shared" si="41"/>
        <v>29.109273370890008</v>
      </c>
      <c r="K53" s="38">
        <f t="shared" si="41"/>
        <v>7.8969999999999995E-4</v>
      </c>
      <c r="L53" s="38">
        <f t="shared" si="41"/>
        <v>0</v>
      </c>
      <c r="M53" s="38">
        <f t="shared" si="41"/>
        <v>216.97530259443002</v>
      </c>
      <c r="N53" s="38">
        <f t="shared" si="41"/>
        <v>216.97530259443002</v>
      </c>
      <c r="O53" s="38">
        <f t="shared" si="41"/>
        <v>29.105643985740006</v>
      </c>
      <c r="P53" s="38">
        <f t="shared" si="41"/>
        <v>0</v>
      </c>
      <c r="Q53" s="38">
        <f t="shared" si="41"/>
        <v>0</v>
      </c>
      <c r="R53" s="38">
        <f t="shared" si="41"/>
        <v>246.08094658017004</v>
      </c>
      <c r="S53" s="38">
        <f t="shared" si="41"/>
        <v>246.08094658017004</v>
      </c>
      <c r="T53" s="38">
        <f t="shared" si="41"/>
        <v>29.149703557740004</v>
      </c>
      <c r="U53" s="38">
        <f t="shared" si="41"/>
        <v>0</v>
      </c>
      <c r="V53" s="38">
        <f t="shared" si="41"/>
        <v>0</v>
      </c>
      <c r="W53" s="38">
        <f t="shared" si="41"/>
        <v>275.23065013791006</v>
      </c>
      <c r="X53" s="908"/>
      <c r="Y53" s="9"/>
      <c r="Z53" s="807"/>
      <c r="AA53" s="807"/>
      <c r="AB53" s="9"/>
      <c r="AC53" s="33"/>
      <c r="AD53" s="630">
        <f>SUM(AD47:AD52)</f>
        <v>29.109219217740005</v>
      </c>
      <c r="AE53" s="630">
        <f t="shared" ref="AE53:AF53" si="42">SUM(AE47:AE52)</f>
        <v>2.3324999999999999E-3</v>
      </c>
      <c r="AF53" s="630">
        <f t="shared" si="42"/>
        <v>29.111551717740006</v>
      </c>
    </row>
    <row r="54" spans="1:41" s="25" customFormat="1" ht="17">
      <c r="A54" s="9"/>
      <c r="B54" s="34"/>
      <c r="C54" s="39"/>
      <c r="D54" s="39"/>
      <c r="E54" s="39"/>
      <c r="F54" s="39"/>
      <c r="G54" s="39"/>
      <c r="H54" s="39"/>
      <c r="I54" s="34"/>
      <c r="J54" s="34"/>
      <c r="K54" s="34"/>
      <c r="L54" s="34"/>
      <c r="M54" s="34"/>
      <c r="N54" s="34"/>
      <c r="O54" s="34"/>
      <c r="P54" s="34"/>
      <c r="Q54" s="34"/>
      <c r="R54" s="34"/>
      <c r="S54" s="9"/>
      <c r="T54" s="40"/>
      <c r="U54" s="40"/>
      <c r="V54" s="40"/>
      <c r="W54" s="9"/>
      <c r="X54" s="908"/>
      <c r="Y54" s="9"/>
      <c r="Z54" s="9"/>
      <c r="AA54" s="9"/>
      <c r="AB54" s="9"/>
      <c r="AC54" s="33"/>
      <c r="AD54" s="33"/>
      <c r="AE54" s="33"/>
    </row>
    <row r="55" spans="1:41" s="25" customFormat="1" ht="17">
      <c r="A55" s="9"/>
      <c r="B55" s="34"/>
      <c r="C55" s="39"/>
      <c r="D55" s="39"/>
      <c r="E55" s="39"/>
      <c r="F55" s="39"/>
      <c r="G55" s="39"/>
      <c r="H55" s="39"/>
      <c r="I55" s="34"/>
      <c r="J55" s="34"/>
      <c r="K55" s="34"/>
      <c r="L55" s="34"/>
      <c r="M55" s="34"/>
      <c r="N55" s="34"/>
      <c r="O55" s="34"/>
      <c r="P55" s="34"/>
      <c r="Q55" s="34"/>
      <c r="R55" s="14" t="s">
        <v>33</v>
      </c>
      <c r="S55" s="34"/>
      <c r="T55" s="34"/>
      <c r="U55" s="34"/>
      <c r="V55" s="34"/>
      <c r="W55" s="34"/>
      <c r="X55" s="35"/>
      <c r="Y55" s="34"/>
      <c r="Z55" s="34"/>
      <c r="AA55" s="34"/>
      <c r="AB55" s="34"/>
    </row>
    <row r="56" spans="1:41" s="25" customFormat="1">
      <c r="A56" s="9"/>
      <c r="B56" s="1080" t="s">
        <v>226</v>
      </c>
      <c r="C56" s="1080" t="s">
        <v>4</v>
      </c>
      <c r="D56" s="1127" t="s">
        <v>541</v>
      </c>
      <c r="E56" s="1127"/>
      <c r="F56" s="1127"/>
      <c r="G56" s="1127"/>
      <c r="H56" s="1127"/>
      <c r="I56" s="1127" t="s">
        <v>542</v>
      </c>
      <c r="J56" s="1127"/>
      <c r="K56" s="1127"/>
      <c r="L56" s="1127"/>
      <c r="M56" s="1127"/>
      <c r="N56" s="1127" t="s">
        <v>543</v>
      </c>
      <c r="O56" s="1127"/>
      <c r="P56" s="1127"/>
      <c r="Q56" s="1127"/>
      <c r="R56" s="1127"/>
      <c r="S56" s="1127" t="s">
        <v>544</v>
      </c>
      <c r="T56" s="1127"/>
      <c r="U56" s="1127"/>
      <c r="V56" s="1127"/>
      <c r="W56" s="1127"/>
      <c r="X56" s="908"/>
      <c r="Y56" s="9"/>
      <c r="Z56" s="9"/>
      <c r="AA56" s="9"/>
      <c r="AB56" s="9"/>
    </row>
    <row r="57" spans="1:41" s="25" customFormat="1">
      <c r="A57" s="9"/>
      <c r="B57" s="1080"/>
      <c r="C57" s="1080"/>
      <c r="D57" s="1143" t="s">
        <v>86</v>
      </c>
      <c r="E57" s="1144"/>
      <c r="F57" s="1144"/>
      <c r="G57" s="1144"/>
      <c r="H57" s="1144"/>
      <c r="I57" s="1143" t="s">
        <v>86</v>
      </c>
      <c r="J57" s="1144"/>
      <c r="K57" s="1144"/>
      <c r="L57" s="1144"/>
      <c r="M57" s="1144"/>
      <c r="N57" s="1143" t="s">
        <v>86</v>
      </c>
      <c r="O57" s="1144"/>
      <c r="P57" s="1144"/>
      <c r="Q57" s="1144"/>
      <c r="R57" s="1144"/>
      <c r="S57" s="1143" t="s">
        <v>86</v>
      </c>
      <c r="T57" s="1144"/>
      <c r="U57" s="1144"/>
      <c r="V57" s="1144"/>
      <c r="W57" s="1144"/>
      <c r="X57" s="909"/>
      <c r="Y57" s="9"/>
      <c r="Z57" s="9"/>
      <c r="AA57" s="9"/>
      <c r="AB57" s="9"/>
    </row>
    <row r="58" spans="1:41" s="25" customFormat="1" ht="48">
      <c r="A58" s="9"/>
      <c r="B58" s="1080"/>
      <c r="C58" s="1080"/>
      <c r="D58" s="32" t="s">
        <v>39</v>
      </c>
      <c r="E58" s="32" t="s">
        <v>20</v>
      </c>
      <c r="F58" s="36" t="s">
        <v>41</v>
      </c>
      <c r="G58" s="17" t="s">
        <v>622</v>
      </c>
      <c r="H58" s="32" t="s">
        <v>40</v>
      </c>
      <c r="I58" s="32" t="s">
        <v>39</v>
      </c>
      <c r="J58" s="32" t="s">
        <v>20</v>
      </c>
      <c r="K58" s="36" t="s">
        <v>41</v>
      </c>
      <c r="L58" s="17" t="s">
        <v>622</v>
      </c>
      <c r="M58" s="32" t="s">
        <v>40</v>
      </c>
      <c r="N58" s="32" t="s">
        <v>39</v>
      </c>
      <c r="O58" s="32" t="s">
        <v>20</v>
      </c>
      <c r="P58" s="36" t="s">
        <v>41</v>
      </c>
      <c r="Q58" s="17" t="s">
        <v>622</v>
      </c>
      <c r="R58" s="32" t="s">
        <v>40</v>
      </c>
      <c r="S58" s="32" t="s">
        <v>39</v>
      </c>
      <c r="T58" s="32" t="s">
        <v>20</v>
      </c>
      <c r="U58" s="36" t="s">
        <v>41</v>
      </c>
      <c r="V58" s="17" t="s">
        <v>622</v>
      </c>
      <c r="W58" s="32" t="s">
        <v>40</v>
      </c>
      <c r="X58" s="908"/>
      <c r="Y58" s="9"/>
      <c r="Z58" s="9"/>
      <c r="AA58" s="9"/>
      <c r="AB58" s="9"/>
    </row>
    <row r="59" spans="1:41" ht="16">
      <c r="A59" s="9"/>
      <c r="B59" s="362"/>
      <c r="C59" s="362"/>
      <c r="D59" s="362" t="s">
        <v>631</v>
      </c>
      <c r="E59" s="362" t="s">
        <v>632</v>
      </c>
      <c r="F59" s="362" t="s">
        <v>633</v>
      </c>
      <c r="G59" s="362" t="s">
        <v>654</v>
      </c>
      <c r="H59" s="362" t="s">
        <v>655</v>
      </c>
      <c r="I59" s="362" t="s">
        <v>656</v>
      </c>
      <c r="J59" s="362" t="s">
        <v>657</v>
      </c>
      <c r="K59" s="362" t="s">
        <v>658</v>
      </c>
      <c r="L59" s="362" t="s">
        <v>659</v>
      </c>
      <c r="M59" s="362" t="s">
        <v>660</v>
      </c>
      <c r="N59" s="362" t="s">
        <v>661</v>
      </c>
      <c r="O59" s="362" t="s">
        <v>662</v>
      </c>
      <c r="P59" s="362" t="s">
        <v>663</v>
      </c>
      <c r="Q59" s="362" t="s">
        <v>664</v>
      </c>
      <c r="R59" s="362" t="s">
        <v>665</v>
      </c>
      <c r="S59" s="362" t="s">
        <v>666</v>
      </c>
      <c r="T59" s="362" t="s">
        <v>667</v>
      </c>
      <c r="U59" s="362" t="s">
        <v>668</v>
      </c>
      <c r="V59" s="362" t="s">
        <v>669</v>
      </c>
      <c r="W59" s="362" t="s">
        <v>670</v>
      </c>
      <c r="X59" s="906"/>
      <c r="Y59" s="9"/>
      <c r="Z59" s="9"/>
      <c r="AA59" s="9"/>
      <c r="AB59" s="9"/>
    </row>
    <row r="60" spans="1:41">
      <c r="A60" s="9"/>
      <c r="B60" s="1">
        <v>1</v>
      </c>
      <c r="C60" s="2" t="s">
        <v>588</v>
      </c>
      <c r="D60" s="37"/>
      <c r="E60" s="20"/>
      <c r="F60" s="20"/>
      <c r="G60" s="21"/>
      <c r="H60" s="20"/>
      <c r="I60" s="22"/>
      <c r="J60" s="22"/>
      <c r="K60" s="22"/>
      <c r="L60" s="21"/>
      <c r="M60" s="22"/>
      <c r="N60" s="22"/>
      <c r="O60" s="22"/>
      <c r="P60" s="22"/>
      <c r="Q60" s="21"/>
      <c r="R60" s="22"/>
      <c r="S60" s="22"/>
      <c r="T60" s="22"/>
      <c r="U60" s="22"/>
      <c r="V60" s="21"/>
      <c r="W60" s="22"/>
      <c r="X60" s="393"/>
      <c r="Y60" s="9"/>
      <c r="Z60" s="9"/>
      <c r="AA60" s="9"/>
      <c r="AB60" s="9"/>
    </row>
    <row r="61" spans="1:41">
      <c r="A61" s="9"/>
      <c r="B61" s="3">
        <v>2</v>
      </c>
      <c r="C61" s="4" t="s">
        <v>149</v>
      </c>
      <c r="D61" s="37">
        <f>W48</f>
        <v>275.05213071240001</v>
      </c>
      <c r="E61" s="653">
        <f>IF(AL48&gt;=90%,0,IF(AL48&gt;=70%,MIN(D32*90%-D61,D32*$AB48),D32*$Y48))+E32*$Y48/2</f>
        <v>29.090581977600007</v>
      </c>
      <c r="F61" s="37"/>
      <c r="G61" s="37"/>
      <c r="H61" s="37">
        <f>D61+E61-F61-G61</f>
        <v>304.14271269</v>
      </c>
      <c r="I61" s="653">
        <f>H61</f>
        <v>304.14271269</v>
      </c>
      <c r="J61" s="653">
        <f>IF(AM48&gt;=90%,0,IF(AM48&gt;=70%,MIN(I32*90%-I61,I32*$AB48),I32*$Y48))+J32*$Y48/2</f>
        <v>29.090581977600007</v>
      </c>
      <c r="K61" s="37"/>
      <c r="L61" s="37"/>
      <c r="M61" s="37">
        <f>I61+J61-K61-L61</f>
        <v>333.23329466759998</v>
      </c>
      <c r="N61" s="653">
        <f>M61</f>
        <v>333.23329466759998</v>
      </c>
      <c r="O61" s="653">
        <f>IF(AN48&gt;=90%,0,IF(AN48&gt;=70%,MIN(N32*90%-N61,N32*$AB48),N32*$Y48))+O32*$Y48/2</f>
        <v>29.090581977600007</v>
      </c>
      <c r="P61" s="22"/>
      <c r="Q61" s="21"/>
      <c r="R61" s="37">
        <f>N61+O61-P61-Q61</f>
        <v>362.32387664519996</v>
      </c>
      <c r="S61" s="653">
        <f>R61</f>
        <v>362.32387664519996</v>
      </c>
      <c r="T61" s="653">
        <f>IF(AO48&gt;=90%,0,IF(AO48&gt;=70%,MIN(S32*90%-S61,S32*$AB48),S32*$Y48))+T32*$Y48/2</f>
        <v>29.090581977600007</v>
      </c>
      <c r="U61" s="22"/>
      <c r="V61" s="21"/>
      <c r="W61" s="37">
        <f>S61+T61-U61-V61</f>
        <v>391.41445862279994</v>
      </c>
      <c r="Y61" s="9"/>
      <c r="Z61" s="9"/>
      <c r="AA61" s="9"/>
      <c r="AB61" s="9"/>
    </row>
    <row r="62" spans="1:41">
      <c r="A62" s="9"/>
      <c r="B62" s="3">
        <v>3</v>
      </c>
      <c r="C62" s="4" t="s">
        <v>156</v>
      </c>
      <c r="D62" s="37">
        <f>W49</f>
        <v>3.0147525129999998E-2</v>
      </c>
      <c r="E62" s="653">
        <f>IF(AL49&gt;=90%,0,IF(AL49&gt;=70%,MIN(D33*90%-D62,D33*$AB49),D33*$Y49))+E33*$Y49/2</f>
        <v>9.6981866700000009E-3</v>
      </c>
      <c r="F62" s="37"/>
      <c r="G62" s="37"/>
      <c r="H62" s="37">
        <f t="shared" ref="H62:H65" si="43">D62+E62-F62-G62</f>
        <v>3.9845711800000003E-2</v>
      </c>
      <c r="I62" s="653">
        <f t="shared" ref="I62:I65" si="44">H62</f>
        <v>3.9845711800000003E-2</v>
      </c>
      <c r="J62" s="653">
        <f>IF(AM49&gt;=90%,0,IF(AM49&gt;=70%,MIN(I33*90%-I62,I33*$AB49),I33*$Y49))+J33*$Y49/2</f>
        <v>1.0331186670000001E-2</v>
      </c>
      <c r="K62" s="37"/>
      <c r="L62" s="37"/>
      <c r="M62" s="37">
        <f t="shared" ref="M62:M65" si="45">I62+J62-K62-L62</f>
        <v>5.0176898470000002E-2</v>
      </c>
      <c r="N62" s="653">
        <f t="shared" ref="N62:N65" si="46">M62</f>
        <v>5.0176898470000002E-2</v>
      </c>
      <c r="O62" s="653">
        <f>IF(AN49&gt;=90%,0,IF(AN49&gt;=70%,MIN(N33*90%-N62,N33*$AB49),N33*$Y49))+O33*$Y49/2</f>
        <v>1.0964186670000001E-2</v>
      </c>
      <c r="P62" s="22"/>
      <c r="Q62" s="24"/>
      <c r="R62" s="37">
        <f t="shared" ref="R62:R65" si="47">N62+O62-P62-Q62</f>
        <v>6.1141085140000002E-2</v>
      </c>
      <c r="S62" s="653">
        <f t="shared" ref="S62:S65" si="48">R62</f>
        <v>6.1141085140000002E-2</v>
      </c>
      <c r="T62" s="653">
        <f>IF(AO49&gt;=90%,0,IF(AO49&gt;=70%,MIN(S33*90%-S62,S33*$AB49),S33*$Y49))+T33*$Y49/2</f>
        <v>1.1597186670000002E-2</v>
      </c>
      <c r="U62" s="22"/>
      <c r="V62" s="24"/>
      <c r="W62" s="37">
        <f t="shared" ref="W62:W65" si="49">S62+T62-U62-V62</f>
        <v>7.2738271810000005E-2</v>
      </c>
      <c r="Y62" s="9"/>
      <c r="Z62" s="9"/>
      <c r="AA62" s="9"/>
      <c r="AB62" s="9"/>
    </row>
    <row r="63" spans="1:41">
      <c r="A63" s="9"/>
      <c r="B63" s="3">
        <v>4</v>
      </c>
      <c r="C63" s="4" t="s">
        <v>710</v>
      </c>
      <c r="D63" s="37">
        <f>W50</f>
        <v>4.8323492500000002E-2</v>
      </c>
      <c r="E63" s="653">
        <f>IF(AL50&gt;=90%,0,IF(AL50&gt;=70%,MIN(D34*90%-D63,D34*$AB50),D34*$Y50))+E34*$Y50/2</f>
        <v>1.1134665E-2</v>
      </c>
      <c r="F63" s="37"/>
      <c r="G63" s="37"/>
      <c r="H63" s="37">
        <f t="shared" si="43"/>
        <v>5.9458157500000004E-2</v>
      </c>
      <c r="I63" s="653">
        <f t="shared" si="44"/>
        <v>5.9458157500000004E-2</v>
      </c>
      <c r="J63" s="653">
        <f>IF(AM50&gt;=90%,0,IF(AM50&gt;=70%,MIN(I34*90%-I63,I34*$AB50),I34*$Y50))+J34*$Y50/2</f>
        <v>3.1269330000000001E-3</v>
      </c>
      <c r="K63" s="37"/>
      <c r="L63" s="37"/>
      <c r="M63" s="37">
        <f t="shared" si="45"/>
        <v>6.258509050000001E-2</v>
      </c>
      <c r="N63" s="653">
        <f t="shared" si="46"/>
        <v>6.258509050000001E-2</v>
      </c>
      <c r="O63" s="653">
        <f>IF(AN50&gt;=90%,0,IF(AN50&gt;=70%,MIN(N34*90%-N63,N34*$AB50),N34*$Y50))+O34*$Y50/2</f>
        <v>3.4269330000000001E-3</v>
      </c>
      <c r="P63" s="22"/>
      <c r="Q63" s="21"/>
      <c r="R63" s="37">
        <f t="shared" si="47"/>
        <v>6.6012023500000017E-2</v>
      </c>
      <c r="S63" s="653">
        <f t="shared" si="48"/>
        <v>6.6012023500000017E-2</v>
      </c>
      <c r="T63" s="653">
        <f>IF(AO50&gt;=90%,0,IF(AO50&gt;=70%,MIN(S34*90%-S63,S34*$AB50),S34*$Y50))+T34*$Y50/2</f>
        <v>1.5634664999999999E-2</v>
      </c>
      <c r="U63" s="22"/>
      <c r="V63" s="21"/>
      <c r="W63" s="37">
        <f t="shared" si="49"/>
        <v>8.1646688500000009E-2</v>
      </c>
      <c r="Y63" s="9"/>
      <c r="Z63" s="9"/>
      <c r="AA63" s="9"/>
      <c r="AB63" s="9"/>
    </row>
    <row r="64" spans="1:41">
      <c r="A64" s="9"/>
      <c r="B64" s="3">
        <v>5</v>
      </c>
      <c r="C64" s="4" t="s">
        <v>711</v>
      </c>
      <c r="D64" s="37">
        <f>W51</f>
        <v>6.6561567879999992E-2</v>
      </c>
      <c r="E64" s="653">
        <f>IF(AL51&gt;=90%,0,IF(AL51&gt;=70%,MIN(D35*90%-D64,D35*$AB51),D35*$Y51))+E35*$Y51/2</f>
        <v>8.2008884699999989E-3</v>
      </c>
      <c r="F64" s="37"/>
      <c r="G64" s="37"/>
      <c r="H64" s="37">
        <f t="shared" si="43"/>
        <v>7.4762456349999992E-2</v>
      </c>
      <c r="I64" s="653">
        <f t="shared" si="44"/>
        <v>7.4762456349999992E-2</v>
      </c>
      <c r="J64" s="653">
        <f>IF(AM51&gt;=90%,0,IF(AM51&gt;=70%,MIN(I35*90%-I64,I35*$AB51),I35*$Y51))+J35*$Y51/2</f>
        <v>8.2008884699999989E-3</v>
      </c>
      <c r="K64" s="37"/>
      <c r="L64" s="37"/>
      <c r="M64" s="37">
        <f t="shared" si="45"/>
        <v>8.2963344819999993E-2</v>
      </c>
      <c r="N64" s="653">
        <f t="shared" si="46"/>
        <v>8.2963344819999993E-2</v>
      </c>
      <c r="O64" s="653">
        <f>IF(AN51&gt;=90%,0,IF(AN51&gt;=70%,MIN(N35*90%-N64,N35*$AB51),N35*$Y51))+O35*$Y51/2</f>
        <v>8.2008884699999989E-3</v>
      </c>
      <c r="P64" s="22"/>
      <c r="Q64" s="21"/>
      <c r="R64" s="37">
        <f t="shared" si="47"/>
        <v>9.1164233289999994E-2</v>
      </c>
      <c r="S64" s="653">
        <f t="shared" si="48"/>
        <v>9.1164233289999994E-2</v>
      </c>
      <c r="T64" s="653">
        <f>IF(AO51&gt;=90%,0,IF(AO51&gt;=70%,MIN(S35*90%-S64,S35*$AB51),S35*$Y51))+T35*$Y51/2</f>
        <v>4.3185300000000001E-3</v>
      </c>
      <c r="U64" s="22"/>
      <c r="V64" s="21"/>
      <c r="W64" s="37">
        <f t="shared" si="49"/>
        <v>9.5482763289999995E-2</v>
      </c>
      <c r="Y64" s="9"/>
      <c r="Z64" s="9"/>
      <c r="AA64" s="9"/>
      <c r="AB64" s="9"/>
    </row>
    <row r="65" spans="1:41">
      <c r="A65" s="9"/>
      <c r="B65" s="3">
        <v>6</v>
      </c>
      <c r="C65" s="4" t="s">
        <v>150</v>
      </c>
      <c r="D65" s="37">
        <f>W52</f>
        <v>3.3486839999999997E-2</v>
      </c>
      <c r="E65" s="653">
        <f>IF(AL52&gt;=90%,0,IF(AL52&gt;=70%,MIN(D36*90%-D65,D36*$AB52),D36*$Y52))+E36*$Y52/2</f>
        <v>6.6973679999999994E-2</v>
      </c>
      <c r="F65" s="37"/>
      <c r="G65" s="37"/>
      <c r="H65" s="37">
        <f t="shared" si="43"/>
        <v>0.10046052</v>
      </c>
      <c r="I65" s="653">
        <f t="shared" si="44"/>
        <v>0.10046052</v>
      </c>
      <c r="J65" s="653">
        <f>IF(AM52&gt;=90%,0,IF(AM52&gt;=70%,MIN(I36*90%-I65,I36*$AB52),I36*$Y52))+J36*$Y52/2</f>
        <v>6.6973679999999994E-2</v>
      </c>
      <c r="K65" s="37"/>
      <c r="L65" s="37"/>
      <c r="M65" s="37">
        <f t="shared" si="45"/>
        <v>0.16743419999999998</v>
      </c>
      <c r="N65" s="653">
        <f t="shared" si="46"/>
        <v>0.16743419999999998</v>
      </c>
      <c r="O65" s="653">
        <f>IF(AN52&gt;=90%,0,IF(AN52&gt;=70%,MIN(N36*90%-N65,N36*$AB52),N36*$Y52))+O36*$Y52/2</f>
        <v>6.6973679999999994E-2</v>
      </c>
      <c r="P65" s="22"/>
      <c r="Q65" s="21"/>
      <c r="R65" s="37">
        <f t="shared" si="47"/>
        <v>0.23440787999999996</v>
      </c>
      <c r="S65" s="653">
        <f t="shared" si="48"/>
        <v>0.23440787999999996</v>
      </c>
      <c r="T65" s="653">
        <f>IF(AO52&gt;=90%,0,IF(AO52&gt;=70%,MIN(S36*90%-S65,S36*$AB52),S36*$Y52))+T36*$Y52/2</f>
        <v>6.6973679999999994E-2</v>
      </c>
      <c r="U65" s="22"/>
      <c r="V65" s="21"/>
      <c r="W65" s="37">
        <f t="shared" si="49"/>
        <v>0.30138155999999994</v>
      </c>
      <c r="Y65" s="9"/>
      <c r="Z65" s="9"/>
      <c r="AA65" s="9"/>
      <c r="AB65" s="9"/>
    </row>
    <row r="66" spans="1:41" ht="17">
      <c r="A66" s="9"/>
      <c r="B66" s="29"/>
      <c r="C66" s="30" t="s">
        <v>23</v>
      </c>
      <c r="D66" s="42">
        <f>SUM(D60:D65)</f>
        <v>275.23065013791006</v>
      </c>
      <c r="E66" s="42">
        <f t="shared" ref="E66:W66" si="50">SUM(E60:E65)</f>
        <v>29.186589397740008</v>
      </c>
      <c r="F66" s="42">
        <f t="shared" si="50"/>
        <v>0</v>
      </c>
      <c r="G66" s="42">
        <f t="shared" si="50"/>
        <v>0</v>
      </c>
      <c r="H66" s="42">
        <f t="shared" si="50"/>
        <v>304.41723953565003</v>
      </c>
      <c r="I66" s="42">
        <f t="shared" si="50"/>
        <v>304.41723953565003</v>
      </c>
      <c r="J66" s="42">
        <f t="shared" si="50"/>
        <v>29.179214665740009</v>
      </c>
      <c r="K66" s="42">
        <f t="shared" si="50"/>
        <v>0</v>
      </c>
      <c r="L66" s="42">
        <f t="shared" si="50"/>
        <v>0</v>
      </c>
      <c r="M66" s="42">
        <f t="shared" si="50"/>
        <v>333.59645420138997</v>
      </c>
      <c r="N66" s="42">
        <f t="shared" si="50"/>
        <v>333.59645420138997</v>
      </c>
      <c r="O66" s="42">
        <f t="shared" si="50"/>
        <v>29.180147665740009</v>
      </c>
      <c r="P66" s="42">
        <f t="shared" si="50"/>
        <v>0</v>
      </c>
      <c r="Q66" s="42">
        <f t="shared" si="50"/>
        <v>0</v>
      </c>
      <c r="R66" s="42">
        <f t="shared" si="50"/>
        <v>362.7766018671299</v>
      </c>
      <c r="S66" s="42">
        <f t="shared" si="50"/>
        <v>362.7766018671299</v>
      </c>
      <c r="T66" s="42">
        <f t="shared" si="50"/>
        <v>29.189106039270005</v>
      </c>
      <c r="U66" s="42">
        <f t="shared" si="50"/>
        <v>0</v>
      </c>
      <c r="V66" s="42">
        <f t="shared" si="50"/>
        <v>0</v>
      </c>
      <c r="W66" s="42">
        <f t="shared" si="50"/>
        <v>391.96570790639993</v>
      </c>
      <c r="Y66" s="9"/>
      <c r="Z66" s="9"/>
      <c r="AA66" s="9"/>
      <c r="AB66" s="9"/>
    </row>
    <row r="67" spans="1:41" ht="17">
      <c r="A67" s="9"/>
      <c r="B67" s="34"/>
      <c r="C67" s="39"/>
      <c r="D67" s="39"/>
      <c r="E67" s="39"/>
      <c r="F67" s="39"/>
      <c r="G67" s="39"/>
      <c r="H67" s="39"/>
      <c r="I67" s="34"/>
      <c r="J67" s="34"/>
      <c r="K67" s="34"/>
      <c r="L67" s="34"/>
      <c r="M67" s="34"/>
      <c r="N67" s="34"/>
      <c r="O67" s="34"/>
      <c r="P67" s="34"/>
      <c r="Q67" s="34"/>
      <c r="R67" s="34"/>
      <c r="S67" s="34"/>
      <c r="T67" s="34"/>
      <c r="U67" s="34"/>
      <c r="V67" s="34"/>
      <c r="W67" s="34"/>
      <c r="Y67" s="9"/>
      <c r="Z67" s="9"/>
      <c r="AA67" s="9"/>
      <c r="AB67" s="9"/>
    </row>
    <row r="68" spans="1:41">
      <c r="A68" s="9"/>
      <c r="B68" s="9"/>
      <c r="C68" s="9"/>
      <c r="D68" s="9"/>
      <c r="E68" s="9"/>
      <c r="F68" s="9"/>
      <c r="G68" s="9"/>
      <c r="H68" s="9"/>
      <c r="I68" s="9"/>
      <c r="J68" s="9"/>
      <c r="K68" s="9"/>
      <c r="L68" s="9"/>
      <c r="M68" s="9"/>
      <c r="N68" s="9"/>
      <c r="O68" s="9"/>
      <c r="P68" s="9"/>
      <c r="Q68" s="9"/>
      <c r="R68" s="9"/>
      <c r="S68" s="9"/>
      <c r="T68" s="9"/>
      <c r="U68" s="9"/>
      <c r="V68" s="9"/>
      <c r="W68" s="9"/>
      <c r="X68" s="910"/>
      <c r="Y68" s="9"/>
      <c r="Z68" s="9"/>
      <c r="AA68" s="9"/>
      <c r="AB68" s="9"/>
    </row>
    <row r="69" spans="1:41">
      <c r="A69" s="9"/>
      <c r="B69" s="10" t="s">
        <v>238</v>
      </c>
      <c r="C69" s="9"/>
      <c r="D69" s="9"/>
      <c r="E69" s="9"/>
      <c r="F69" s="9"/>
      <c r="G69" s="9"/>
      <c r="H69" s="9"/>
      <c r="I69" s="9"/>
      <c r="J69" s="9"/>
      <c r="K69" s="9"/>
      <c r="L69" s="9"/>
      <c r="M69" s="9"/>
      <c r="N69" s="9"/>
      <c r="O69" s="9"/>
      <c r="P69" s="9"/>
      <c r="Q69" s="9"/>
      <c r="R69" s="9"/>
      <c r="S69" s="9"/>
      <c r="T69" s="9"/>
      <c r="U69" s="9"/>
      <c r="V69" s="9"/>
      <c r="W69" s="9"/>
      <c r="X69" s="910"/>
      <c r="Y69" s="9"/>
      <c r="Z69" s="9"/>
      <c r="AA69" s="9"/>
      <c r="AB69" s="9"/>
    </row>
    <row r="70" spans="1:41">
      <c r="A70" s="9"/>
      <c r="B70" s="10"/>
      <c r="C70" s="9"/>
      <c r="D70" s="9"/>
      <c r="E70" s="9"/>
      <c r="F70" s="9"/>
      <c r="G70" s="9"/>
      <c r="H70" s="9"/>
      <c r="I70" s="9"/>
      <c r="J70" s="9"/>
      <c r="K70" s="9"/>
      <c r="L70" s="9"/>
      <c r="M70" s="9"/>
      <c r="N70" s="9"/>
      <c r="O70" s="9"/>
      <c r="P70" s="9"/>
      <c r="Q70" s="9"/>
      <c r="R70" s="9"/>
      <c r="S70" s="9"/>
      <c r="T70" s="9"/>
      <c r="U70" s="9"/>
      <c r="V70" s="9"/>
      <c r="W70" s="9"/>
      <c r="X70" s="910"/>
      <c r="Y70" s="9"/>
      <c r="Z70" s="9"/>
      <c r="AA70" s="9"/>
      <c r="AB70" s="9"/>
    </row>
    <row r="71" spans="1:41">
      <c r="A71" s="9"/>
      <c r="B71" s="9"/>
      <c r="C71" s="9"/>
      <c r="D71" s="9"/>
      <c r="E71" s="9"/>
      <c r="F71" s="9"/>
      <c r="G71" s="9"/>
      <c r="H71" s="9"/>
      <c r="I71" s="9"/>
      <c r="J71" s="11"/>
      <c r="K71" s="9"/>
      <c r="L71" s="9"/>
      <c r="M71" s="11"/>
      <c r="N71" s="11"/>
      <c r="O71" s="9"/>
      <c r="P71" s="9"/>
      <c r="Q71" s="9"/>
      <c r="S71" s="9"/>
      <c r="T71" s="9"/>
      <c r="U71" s="9"/>
      <c r="V71" s="9"/>
      <c r="W71" s="14" t="s">
        <v>33</v>
      </c>
      <c r="X71" s="910"/>
      <c r="Y71" s="9"/>
      <c r="Z71" s="9"/>
      <c r="AA71" s="9"/>
      <c r="AB71" s="9"/>
    </row>
    <row r="72" spans="1:41">
      <c r="A72" s="9"/>
      <c r="B72" s="1080" t="s">
        <v>226</v>
      </c>
      <c r="C72" s="1080" t="s">
        <v>4</v>
      </c>
      <c r="D72" s="1143" t="s">
        <v>213</v>
      </c>
      <c r="E72" s="1143"/>
      <c r="F72" s="1143"/>
      <c r="G72" s="1143"/>
      <c r="H72" s="1143"/>
      <c r="I72" s="1143" t="s">
        <v>214</v>
      </c>
      <c r="J72" s="1143"/>
      <c r="K72" s="1143"/>
      <c r="L72" s="1143"/>
      <c r="M72" s="1143"/>
      <c r="N72" s="1127" t="s">
        <v>215</v>
      </c>
      <c r="O72" s="1127"/>
      <c r="P72" s="1127"/>
      <c r="Q72" s="1127"/>
      <c r="R72" s="1127"/>
      <c r="S72" s="1127" t="s">
        <v>540</v>
      </c>
      <c r="T72" s="1127"/>
      <c r="U72" s="1127"/>
      <c r="V72" s="1127"/>
      <c r="W72" s="1127"/>
      <c r="X72" s="910"/>
      <c r="Y72" s="9"/>
      <c r="Z72" s="9"/>
      <c r="AA72" s="9"/>
      <c r="AB72" s="9"/>
    </row>
    <row r="73" spans="1:41" ht="17">
      <c r="A73" s="9"/>
      <c r="B73" s="1080"/>
      <c r="C73" s="1080"/>
      <c r="D73" s="1143" t="s">
        <v>566</v>
      </c>
      <c r="E73" s="1144"/>
      <c r="F73" s="1144"/>
      <c r="G73" s="1144"/>
      <c r="H73" s="1144"/>
      <c r="I73" s="1143" t="s">
        <v>566</v>
      </c>
      <c r="J73" s="1144"/>
      <c r="K73" s="1144"/>
      <c r="L73" s="1144"/>
      <c r="M73" s="1144"/>
      <c r="N73" s="1143" t="s">
        <v>59</v>
      </c>
      <c r="O73" s="1144"/>
      <c r="P73" s="1144"/>
      <c r="Q73" s="1144"/>
      <c r="R73" s="1144"/>
      <c r="S73" s="1143" t="s">
        <v>86</v>
      </c>
      <c r="T73" s="1144"/>
      <c r="U73" s="1144"/>
      <c r="V73" s="1144"/>
      <c r="W73" s="1144"/>
      <c r="X73" s="35"/>
      <c r="Y73" s="9"/>
      <c r="Z73" s="9"/>
      <c r="AA73" s="9"/>
      <c r="AB73" s="9"/>
      <c r="AC73" s="33"/>
      <c r="AD73" s="33"/>
      <c r="AE73" s="33"/>
      <c r="AF73" s="33"/>
      <c r="AG73" s="33"/>
      <c r="AH73" s="33"/>
      <c r="AI73" s="33"/>
      <c r="AJ73" s="33"/>
      <c r="AK73" s="33"/>
      <c r="AL73" s="33"/>
      <c r="AM73" s="33"/>
      <c r="AN73" s="33"/>
      <c r="AO73" s="33"/>
    </row>
    <row r="74" spans="1:41" ht="32">
      <c r="A74" s="9"/>
      <c r="B74" s="1080"/>
      <c r="C74" s="1080"/>
      <c r="D74" s="32" t="s">
        <v>19</v>
      </c>
      <c r="E74" s="32" t="s">
        <v>20</v>
      </c>
      <c r="F74" s="36" t="s">
        <v>41</v>
      </c>
      <c r="G74" s="17" t="s">
        <v>622</v>
      </c>
      <c r="H74" s="32" t="s">
        <v>22</v>
      </c>
      <c r="I74" s="32" t="s">
        <v>19</v>
      </c>
      <c r="J74" s="32" t="s">
        <v>20</v>
      </c>
      <c r="K74" s="36" t="s">
        <v>41</v>
      </c>
      <c r="L74" s="17" t="s">
        <v>622</v>
      </c>
      <c r="M74" s="32" t="s">
        <v>22</v>
      </c>
      <c r="N74" s="32" t="s">
        <v>19</v>
      </c>
      <c r="O74" s="32" t="s">
        <v>20</v>
      </c>
      <c r="P74" s="36" t="s">
        <v>41</v>
      </c>
      <c r="Q74" s="17" t="s">
        <v>622</v>
      </c>
      <c r="R74" s="32" t="s">
        <v>22</v>
      </c>
      <c r="S74" s="32" t="s">
        <v>19</v>
      </c>
      <c r="T74" s="32" t="s">
        <v>20</v>
      </c>
      <c r="U74" s="36" t="s">
        <v>41</v>
      </c>
      <c r="V74" s="17" t="s">
        <v>622</v>
      </c>
      <c r="W74" s="32" t="s">
        <v>22</v>
      </c>
      <c r="X74" s="35"/>
      <c r="Y74" s="9"/>
      <c r="Z74" s="9"/>
      <c r="AA74" s="9"/>
      <c r="AB74" s="9"/>
      <c r="AC74" s="33"/>
      <c r="AD74" s="33"/>
      <c r="AE74" s="33"/>
      <c r="AF74" s="33"/>
      <c r="AG74" s="33"/>
      <c r="AH74" s="33"/>
      <c r="AI74" s="33"/>
      <c r="AJ74" s="33"/>
      <c r="AK74" s="33"/>
      <c r="AL74" s="33"/>
      <c r="AM74" s="33"/>
      <c r="AN74" s="33"/>
      <c r="AO74" s="33"/>
    </row>
    <row r="75" spans="1:41" ht="16">
      <c r="A75" s="9"/>
      <c r="B75" s="362"/>
      <c r="C75" s="362"/>
      <c r="D75" s="362" t="s">
        <v>56</v>
      </c>
      <c r="E75" s="362" t="s">
        <v>57</v>
      </c>
      <c r="F75" s="362" t="s">
        <v>552</v>
      </c>
      <c r="G75" s="362" t="s">
        <v>318</v>
      </c>
      <c r="H75" s="362" t="s">
        <v>623</v>
      </c>
      <c r="I75" s="362" t="s">
        <v>319</v>
      </c>
      <c r="J75" s="362" t="s">
        <v>624</v>
      </c>
      <c r="K75" s="362" t="s">
        <v>546</v>
      </c>
      <c r="L75" s="362" t="s">
        <v>547</v>
      </c>
      <c r="M75" s="362" t="s">
        <v>649</v>
      </c>
      <c r="N75" s="362" t="s">
        <v>625</v>
      </c>
      <c r="O75" s="362" t="s">
        <v>650</v>
      </c>
      <c r="P75" s="362" t="s">
        <v>626</v>
      </c>
      <c r="Q75" s="362" t="s">
        <v>627</v>
      </c>
      <c r="R75" s="362" t="s">
        <v>651</v>
      </c>
      <c r="S75" s="362" t="s">
        <v>628</v>
      </c>
      <c r="T75" s="362" t="s">
        <v>629</v>
      </c>
      <c r="U75" s="362" t="s">
        <v>652</v>
      </c>
      <c r="V75" s="362" t="s">
        <v>630</v>
      </c>
      <c r="W75" s="362" t="s">
        <v>653</v>
      </c>
      <c r="X75" s="393"/>
      <c r="Y75" s="9"/>
      <c r="Z75" s="9"/>
      <c r="AA75" s="9"/>
      <c r="AB75" s="9"/>
    </row>
    <row r="76" spans="1:41">
      <c r="A76" s="9"/>
      <c r="B76" s="1">
        <v>1</v>
      </c>
      <c r="C76" s="2" t="s">
        <v>588</v>
      </c>
      <c r="D76" s="41">
        <f t="shared" ref="D76:G81" si="51">D15-D47</f>
        <v>0</v>
      </c>
      <c r="E76" s="37">
        <f t="shared" si="51"/>
        <v>0</v>
      </c>
      <c r="F76" s="37">
        <f t="shared" si="51"/>
        <v>0</v>
      </c>
      <c r="G76" s="37">
        <f t="shared" si="51"/>
        <v>0</v>
      </c>
      <c r="H76" s="37">
        <f>D76+E76-F76-G76</f>
        <v>0</v>
      </c>
      <c r="I76" s="653">
        <f>H76</f>
        <v>0</v>
      </c>
      <c r="J76" s="37">
        <f t="shared" ref="J76:L81" si="52">J15-J47</f>
        <v>0</v>
      </c>
      <c r="K76" s="37">
        <f t="shared" si="52"/>
        <v>0</v>
      </c>
      <c r="L76" s="37">
        <f t="shared" si="52"/>
        <v>0</v>
      </c>
      <c r="M76" s="37">
        <f>I76+J76-K76-L76</f>
        <v>0</v>
      </c>
      <c r="N76" s="653">
        <f>M76</f>
        <v>0</v>
      </c>
      <c r="O76" s="37">
        <f t="shared" ref="O76:Q81" si="53">O15-O47</f>
        <v>0</v>
      </c>
      <c r="P76" s="37">
        <f t="shared" si="53"/>
        <v>0</v>
      </c>
      <c r="Q76" s="37">
        <f t="shared" si="53"/>
        <v>0</v>
      </c>
      <c r="R76" s="37">
        <f>N76+O76-P76-Q76</f>
        <v>0</v>
      </c>
      <c r="S76" s="653">
        <f>R76</f>
        <v>0</v>
      </c>
      <c r="T76" s="37">
        <f t="shared" ref="T76:V81" si="54">T15-T47</f>
        <v>0.70479999999999998</v>
      </c>
      <c r="U76" s="37">
        <f t="shared" si="54"/>
        <v>0</v>
      </c>
      <c r="V76" s="37">
        <f t="shared" si="54"/>
        <v>0</v>
      </c>
      <c r="W76" s="37">
        <f>S76+T76-U76-V76</f>
        <v>0.70479999999999998</v>
      </c>
      <c r="X76" s="910"/>
      <c r="Y76" s="9"/>
      <c r="Z76" s="9"/>
      <c r="AA76" s="9"/>
      <c r="AB76" s="9"/>
    </row>
    <row r="77" spans="1:41">
      <c r="A77" s="9"/>
      <c r="B77" s="3">
        <v>2</v>
      </c>
      <c r="C77" s="4" t="s">
        <v>149</v>
      </c>
      <c r="D77" s="41">
        <f t="shared" si="51"/>
        <v>391.81104346800009</v>
      </c>
      <c r="E77" s="37">
        <f t="shared" si="51"/>
        <v>-28.633436247600006</v>
      </c>
      <c r="F77" s="37">
        <f t="shared" si="51"/>
        <v>0</v>
      </c>
      <c r="G77" s="37">
        <f t="shared" si="51"/>
        <v>0</v>
      </c>
      <c r="H77" s="37">
        <f t="shared" ref="H77:H81" si="55">D77+E77-F77-G77</f>
        <v>363.17760722040009</v>
      </c>
      <c r="I77" s="653">
        <f t="shared" ref="I77:I81" si="56">H77</f>
        <v>363.17760722040009</v>
      </c>
      <c r="J77" s="37">
        <f t="shared" si="52"/>
        <v>-29.090581977600007</v>
      </c>
      <c r="K77" s="37">
        <f t="shared" si="52"/>
        <v>0</v>
      </c>
      <c r="L77" s="37">
        <f t="shared" si="52"/>
        <v>0</v>
      </c>
      <c r="M77" s="37">
        <f t="shared" ref="M77:M81" si="57">I77+J77-K77-L77</f>
        <v>334.08702524280011</v>
      </c>
      <c r="N77" s="653">
        <f t="shared" ref="N77:N81" si="58">M77</f>
        <v>334.08702524280011</v>
      </c>
      <c r="O77" s="37">
        <f t="shared" si="53"/>
        <v>-29.090581977600007</v>
      </c>
      <c r="P77" s="37">
        <f t="shared" si="53"/>
        <v>0</v>
      </c>
      <c r="Q77" s="37">
        <f t="shared" si="53"/>
        <v>0</v>
      </c>
      <c r="R77" s="37">
        <f t="shared" ref="R77:R81" si="59">N77+O77-P77-Q77</f>
        <v>304.99644326520013</v>
      </c>
      <c r="S77" s="653">
        <f t="shared" ref="S77:S81" si="60">R77</f>
        <v>304.99644326520013</v>
      </c>
      <c r="T77" s="37">
        <f t="shared" si="54"/>
        <v>-29.090581977600007</v>
      </c>
      <c r="U77" s="37">
        <f t="shared" si="54"/>
        <v>0</v>
      </c>
      <c r="V77" s="37">
        <f t="shared" si="54"/>
        <v>0</v>
      </c>
      <c r="W77" s="37">
        <f t="shared" ref="W77:W81" si="61">S77+T77-U77-V77</f>
        <v>275.90586128760015</v>
      </c>
      <c r="X77" s="910"/>
      <c r="Y77" s="9"/>
      <c r="Z77" s="9"/>
      <c r="AA77" s="9"/>
      <c r="AB77" s="9"/>
    </row>
    <row r="78" spans="1:41">
      <c r="A78" s="9"/>
      <c r="B78" s="3">
        <v>3</v>
      </c>
      <c r="C78" s="4" t="s">
        <v>156</v>
      </c>
      <c r="D78" s="41">
        <f t="shared" si="51"/>
        <v>3.3644503000000006E-2</v>
      </c>
      <c r="E78" s="37">
        <f t="shared" si="51"/>
        <v>-5.7161497000000026E-4</v>
      </c>
      <c r="F78" s="37">
        <f t="shared" si="51"/>
        <v>0</v>
      </c>
      <c r="G78" s="37">
        <f t="shared" si="51"/>
        <v>0</v>
      </c>
      <c r="H78" s="37">
        <f t="shared" si="55"/>
        <v>3.3072888030000004E-2</v>
      </c>
      <c r="I78" s="653">
        <f t="shared" si="56"/>
        <v>3.3072888030000004E-2</v>
      </c>
      <c r="J78" s="37">
        <f t="shared" si="52"/>
        <v>-1.9168398199999998E-3</v>
      </c>
      <c r="K78" s="37">
        <f t="shared" si="52"/>
        <v>6.6029999999999995E-4</v>
      </c>
      <c r="L78" s="37">
        <f t="shared" si="52"/>
        <v>0</v>
      </c>
      <c r="M78" s="37">
        <f t="shared" si="57"/>
        <v>3.0495748210000007E-2</v>
      </c>
      <c r="N78" s="653">
        <f t="shared" si="58"/>
        <v>3.0495748210000007E-2</v>
      </c>
      <c r="O78" s="37">
        <f t="shared" si="53"/>
        <v>4.5365813330000004E-2</v>
      </c>
      <c r="P78" s="37">
        <f t="shared" si="53"/>
        <v>0</v>
      </c>
      <c r="Q78" s="37">
        <f t="shared" si="53"/>
        <v>0</v>
      </c>
      <c r="R78" s="37">
        <f t="shared" si="59"/>
        <v>7.5861561540000011E-2</v>
      </c>
      <c r="S78" s="653">
        <f t="shared" si="60"/>
        <v>7.5861561540000011E-2</v>
      </c>
      <c r="T78" s="37">
        <f t="shared" si="54"/>
        <v>4.2200813330000003E-2</v>
      </c>
      <c r="U78" s="37">
        <f t="shared" si="54"/>
        <v>0</v>
      </c>
      <c r="V78" s="37">
        <f t="shared" si="54"/>
        <v>0</v>
      </c>
      <c r="W78" s="37">
        <f t="shared" si="61"/>
        <v>0.11806237487000001</v>
      </c>
      <c r="X78" s="910"/>
      <c r="Y78" s="9"/>
      <c r="Z78" s="9"/>
      <c r="AA78" s="9"/>
      <c r="AB78" s="9"/>
    </row>
    <row r="79" spans="1:41">
      <c r="A79" s="9"/>
      <c r="B79" s="3">
        <v>4</v>
      </c>
      <c r="C79" s="4" t="s">
        <v>710</v>
      </c>
      <c r="D79" s="41">
        <f t="shared" si="51"/>
        <v>1.9196643000000006E-2</v>
      </c>
      <c r="E79" s="37">
        <f t="shared" si="51"/>
        <v>9.5722749999999947E-4</v>
      </c>
      <c r="F79" s="37">
        <f t="shared" si="51"/>
        <v>0</v>
      </c>
      <c r="G79" s="37">
        <f t="shared" si="51"/>
        <v>0</v>
      </c>
      <c r="H79" s="37">
        <f t="shared" si="55"/>
        <v>2.0153870500000004E-2</v>
      </c>
      <c r="I79" s="653">
        <f t="shared" si="56"/>
        <v>2.0153870500000004E-2</v>
      </c>
      <c r="J79" s="37">
        <f t="shared" si="52"/>
        <v>-7.3846650000000003E-3</v>
      </c>
      <c r="K79" s="37">
        <f t="shared" si="52"/>
        <v>0</v>
      </c>
      <c r="L79" s="37">
        <f t="shared" si="52"/>
        <v>0</v>
      </c>
      <c r="M79" s="37">
        <f t="shared" si="57"/>
        <v>1.2769205500000004E-2</v>
      </c>
      <c r="N79" s="653">
        <f t="shared" si="58"/>
        <v>1.2769205500000004E-2</v>
      </c>
      <c r="O79" s="37">
        <f t="shared" si="53"/>
        <v>7.7730669999999998E-3</v>
      </c>
      <c r="P79" s="37">
        <f t="shared" si="53"/>
        <v>0</v>
      </c>
      <c r="Q79" s="37">
        <f t="shared" si="53"/>
        <v>0</v>
      </c>
      <c r="R79" s="37">
        <f t="shared" si="59"/>
        <v>2.0542272500000004E-2</v>
      </c>
      <c r="S79" s="653">
        <f t="shared" si="60"/>
        <v>2.0542272500000004E-2</v>
      </c>
      <c r="T79" s="37">
        <f t="shared" si="54"/>
        <v>3.6533499999999788E-4</v>
      </c>
      <c r="U79" s="37">
        <f t="shared" si="54"/>
        <v>0</v>
      </c>
      <c r="V79" s="37">
        <f t="shared" si="54"/>
        <v>0</v>
      </c>
      <c r="W79" s="37">
        <f t="shared" si="61"/>
        <v>2.0907607500000001E-2</v>
      </c>
      <c r="X79" s="910"/>
      <c r="Y79" s="9"/>
      <c r="Z79" s="9"/>
      <c r="AA79" s="9"/>
      <c r="AB79" s="9"/>
    </row>
    <row r="80" spans="1:41">
      <c r="A80" s="9"/>
      <c r="B80" s="3">
        <v>5</v>
      </c>
      <c r="C80" s="4" t="s">
        <v>711</v>
      </c>
      <c r="D80" s="41">
        <f t="shared" si="51"/>
        <v>9.5797885999999999E-2</v>
      </c>
      <c r="E80" s="37">
        <f t="shared" si="51"/>
        <v>-8.2008884699999989E-3</v>
      </c>
      <c r="F80" s="37">
        <f t="shared" si="51"/>
        <v>0</v>
      </c>
      <c r="G80" s="37">
        <f t="shared" si="51"/>
        <v>0</v>
      </c>
      <c r="H80" s="37">
        <f t="shared" si="55"/>
        <v>8.7596997529999998E-2</v>
      </c>
      <c r="I80" s="653">
        <f t="shared" si="56"/>
        <v>8.7596997529999998E-2</v>
      </c>
      <c r="J80" s="37">
        <f t="shared" si="52"/>
        <v>-8.2008884699999989E-3</v>
      </c>
      <c r="K80" s="37">
        <f t="shared" si="52"/>
        <v>0</v>
      </c>
      <c r="L80" s="37">
        <f t="shared" si="52"/>
        <v>0</v>
      </c>
      <c r="M80" s="37">
        <f t="shared" si="57"/>
        <v>7.9396109059999997E-2</v>
      </c>
      <c r="N80" s="653">
        <f t="shared" si="58"/>
        <v>7.9396109059999997E-2</v>
      </c>
      <c r="O80" s="37">
        <f t="shared" si="53"/>
        <v>-8.2008884699999989E-3</v>
      </c>
      <c r="P80" s="37">
        <f t="shared" si="53"/>
        <v>0</v>
      </c>
      <c r="Q80" s="37">
        <f t="shared" si="53"/>
        <v>0</v>
      </c>
      <c r="R80" s="37">
        <f t="shared" si="59"/>
        <v>7.1195220589999997E-2</v>
      </c>
      <c r="S80" s="653">
        <f t="shared" si="60"/>
        <v>7.1195220589999997E-2</v>
      </c>
      <c r="T80" s="37">
        <f t="shared" si="54"/>
        <v>-8.2008884699999989E-3</v>
      </c>
      <c r="U80" s="37">
        <f t="shared" si="54"/>
        <v>0</v>
      </c>
      <c r="V80" s="37">
        <f t="shared" si="54"/>
        <v>0</v>
      </c>
      <c r="W80" s="37">
        <f t="shared" si="61"/>
        <v>6.2994332119999996E-2</v>
      </c>
      <c r="X80" s="910"/>
      <c r="Y80" s="9"/>
      <c r="Z80" s="9"/>
      <c r="AA80" s="9"/>
      <c r="AB80" s="9"/>
    </row>
    <row r="81" spans="1:28">
      <c r="A81" s="9"/>
      <c r="B81" s="3">
        <v>6</v>
      </c>
      <c r="C81" s="4" t="s">
        <v>150</v>
      </c>
      <c r="D81" s="41">
        <f t="shared" si="51"/>
        <v>0</v>
      </c>
      <c r="E81" s="37">
        <f t="shared" si="51"/>
        <v>0</v>
      </c>
      <c r="F81" s="37">
        <f t="shared" si="51"/>
        <v>0</v>
      </c>
      <c r="G81" s="37">
        <f t="shared" si="51"/>
        <v>0</v>
      </c>
      <c r="H81" s="37">
        <f t="shared" si="55"/>
        <v>0</v>
      </c>
      <c r="I81" s="653">
        <f t="shared" si="56"/>
        <v>0</v>
      </c>
      <c r="J81" s="37">
        <f t="shared" si="52"/>
        <v>0</v>
      </c>
      <c r="K81" s="37">
        <f t="shared" si="52"/>
        <v>0</v>
      </c>
      <c r="L81" s="37">
        <f t="shared" si="52"/>
        <v>0</v>
      </c>
      <c r="M81" s="37">
        <f t="shared" si="57"/>
        <v>0</v>
      </c>
      <c r="N81" s="653">
        <f t="shared" si="58"/>
        <v>0</v>
      </c>
      <c r="O81" s="37">
        <f t="shared" si="53"/>
        <v>0</v>
      </c>
      <c r="P81" s="37">
        <f t="shared" si="53"/>
        <v>0</v>
      </c>
      <c r="Q81" s="37">
        <f t="shared" si="53"/>
        <v>0</v>
      </c>
      <c r="R81" s="37">
        <f t="shared" si="59"/>
        <v>0</v>
      </c>
      <c r="S81" s="653">
        <f t="shared" si="60"/>
        <v>0</v>
      </c>
      <c r="T81" s="37">
        <f t="shared" si="54"/>
        <v>1.97171316</v>
      </c>
      <c r="U81" s="37">
        <f t="shared" si="54"/>
        <v>0</v>
      </c>
      <c r="V81" s="37">
        <f t="shared" si="54"/>
        <v>0</v>
      </c>
      <c r="W81" s="37">
        <f t="shared" si="61"/>
        <v>1.97171316</v>
      </c>
      <c r="X81" s="910"/>
      <c r="Y81" s="9"/>
      <c r="Z81" s="9"/>
      <c r="AA81" s="9"/>
      <c r="AB81" s="9"/>
    </row>
    <row r="82" spans="1:28" ht="17">
      <c r="A82" s="9"/>
      <c r="B82" s="29"/>
      <c r="C82" s="30" t="s">
        <v>23</v>
      </c>
      <c r="D82" s="42">
        <f>SUM(D76:D81)</f>
        <v>391.9596825000001</v>
      </c>
      <c r="E82" s="42">
        <f t="shared" ref="E82:W82" si="62">SUM(E76:E81)</f>
        <v>-28.641251523540006</v>
      </c>
      <c r="F82" s="42">
        <f t="shared" si="62"/>
        <v>0</v>
      </c>
      <c r="G82" s="42">
        <f t="shared" si="62"/>
        <v>0</v>
      </c>
      <c r="H82" s="42">
        <f t="shared" si="62"/>
        <v>363.31843097646009</v>
      </c>
      <c r="I82" s="42">
        <f t="shared" si="62"/>
        <v>363.31843097646009</v>
      </c>
      <c r="J82" s="42">
        <f t="shared" si="62"/>
        <v>-29.108084370890008</v>
      </c>
      <c r="K82" s="42">
        <f t="shared" si="62"/>
        <v>6.6029999999999995E-4</v>
      </c>
      <c r="L82" s="42">
        <f t="shared" si="62"/>
        <v>0</v>
      </c>
      <c r="M82" s="42">
        <f t="shared" si="62"/>
        <v>334.20968630557007</v>
      </c>
      <c r="N82" s="42">
        <f t="shared" si="62"/>
        <v>334.20968630557007</v>
      </c>
      <c r="O82" s="42">
        <f t="shared" si="62"/>
        <v>-29.045643985740007</v>
      </c>
      <c r="P82" s="42">
        <f t="shared" si="62"/>
        <v>0</v>
      </c>
      <c r="Q82" s="42">
        <f t="shared" si="62"/>
        <v>0</v>
      </c>
      <c r="R82" s="42">
        <f t="shared" si="62"/>
        <v>305.16404231983017</v>
      </c>
      <c r="S82" s="42">
        <f t="shared" si="62"/>
        <v>305.16404231983017</v>
      </c>
      <c r="T82" s="42">
        <f t="shared" si="62"/>
        <v>-26.379703557740008</v>
      </c>
      <c r="U82" s="42">
        <f t="shared" si="62"/>
        <v>0</v>
      </c>
      <c r="V82" s="42">
        <f t="shared" si="62"/>
        <v>0</v>
      </c>
      <c r="W82" s="42">
        <f t="shared" si="62"/>
        <v>278.78433876209016</v>
      </c>
      <c r="X82" s="393"/>
      <c r="Y82" s="9"/>
      <c r="Z82" s="9"/>
      <c r="AA82" s="9"/>
      <c r="AB82" s="9"/>
    </row>
    <row r="83" spans="1:28" ht="17">
      <c r="A83" s="9"/>
      <c r="B83" s="34"/>
      <c r="C83" s="39"/>
      <c r="D83" s="39"/>
      <c r="E83" s="39"/>
      <c r="F83" s="39"/>
      <c r="G83" s="39"/>
      <c r="H83" s="39"/>
      <c r="I83" s="34"/>
      <c r="J83" s="34"/>
      <c r="K83" s="34"/>
      <c r="L83" s="34"/>
      <c r="M83" s="34"/>
      <c r="N83" s="34"/>
      <c r="O83" s="34"/>
      <c r="P83" s="34"/>
      <c r="Q83" s="34"/>
      <c r="R83" s="34"/>
      <c r="S83" s="9"/>
      <c r="T83" s="40"/>
      <c r="U83" s="40"/>
      <c r="V83" s="40"/>
      <c r="W83" s="9"/>
      <c r="X83" s="393"/>
      <c r="Y83" s="9"/>
      <c r="Z83" s="9"/>
      <c r="AA83" s="9"/>
      <c r="AB83" s="9"/>
    </row>
    <row r="84" spans="1:28" ht="17">
      <c r="A84" s="9"/>
      <c r="B84" s="34"/>
      <c r="C84" s="39"/>
      <c r="D84" s="39"/>
      <c r="E84" s="39"/>
      <c r="F84" s="39"/>
      <c r="G84" s="39"/>
      <c r="H84" s="39"/>
      <c r="I84" s="34"/>
      <c r="J84" s="34"/>
      <c r="K84" s="34"/>
      <c r="L84" s="34"/>
      <c r="M84" s="34"/>
      <c r="N84" s="34"/>
      <c r="O84" s="34"/>
      <c r="P84" s="34"/>
      <c r="Q84" s="34"/>
      <c r="R84" s="34"/>
      <c r="S84" s="34"/>
      <c r="T84" s="34"/>
      <c r="U84" s="34"/>
      <c r="V84" s="34"/>
      <c r="W84" s="14" t="s">
        <v>33</v>
      </c>
      <c r="X84" s="904"/>
      <c r="Y84" s="34"/>
      <c r="Z84" s="34"/>
      <c r="AA84" s="34"/>
      <c r="AB84" s="34"/>
    </row>
    <row r="85" spans="1:28" ht="17">
      <c r="A85" s="9"/>
      <c r="B85" s="1080" t="s">
        <v>226</v>
      </c>
      <c r="C85" s="1080" t="s">
        <v>4</v>
      </c>
      <c r="D85" s="1127" t="s">
        <v>541</v>
      </c>
      <c r="E85" s="1127"/>
      <c r="F85" s="1127"/>
      <c r="G85" s="1127"/>
      <c r="H85" s="1127"/>
      <c r="I85" s="1127" t="s">
        <v>542</v>
      </c>
      <c r="J85" s="1127"/>
      <c r="K85" s="1127"/>
      <c r="L85" s="1127"/>
      <c r="M85" s="1127"/>
      <c r="N85" s="1127" t="s">
        <v>543</v>
      </c>
      <c r="O85" s="1127"/>
      <c r="P85" s="1127"/>
      <c r="Q85" s="1127"/>
      <c r="R85" s="1127"/>
      <c r="S85" s="1127" t="s">
        <v>544</v>
      </c>
      <c r="T85" s="1127"/>
      <c r="U85" s="1127"/>
      <c r="V85" s="1127"/>
      <c r="W85" s="1127"/>
      <c r="X85" s="908"/>
      <c r="Y85" s="34"/>
      <c r="Z85" s="34"/>
      <c r="AA85" s="34"/>
      <c r="AB85" s="34"/>
    </row>
    <row r="86" spans="1:28" ht="17">
      <c r="A86" s="9"/>
      <c r="B86" s="1080"/>
      <c r="C86" s="1080"/>
      <c r="D86" s="1143" t="s">
        <v>86</v>
      </c>
      <c r="E86" s="1144"/>
      <c r="F86" s="1144"/>
      <c r="G86" s="1144"/>
      <c r="H86" s="1144"/>
      <c r="I86" s="1143" t="s">
        <v>86</v>
      </c>
      <c r="J86" s="1144"/>
      <c r="K86" s="1144"/>
      <c r="L86" s="1144"/>
      <c r="M86" s="1144"/>
      <c r="N86" s="1143" t="s">
        <v>86</v>
      </c>
      <c r="O86" s="1144"/>
      <c r="P86" s="1144"/>
      <c r="Q86" s="1144"/>
      <c r="R86" s="1144"/>
      <c r="S86" s="1143" t="s">
        <v>86</v>
      </c>
      <c r="T86" s="1144"/>
      <c r="U86" s="1144"/>
      <c r="V86" s="1144"/>
      <c r="W86" s="1144"/>
      <c r="X86" s="909"/>
      <c r="Y86" s="34"/>
      <c r="Z86" s="34"/>
      <c r="AA86" s="34"/>
      <c r="AB86" s="34"/>
    </row>
    <row r="87" spans="1:28" ht="32">
      <c r="A87" s="9"/>
      <c r="B87" s="1080"/>
      <c r="C87" s="1080"/>
      <c r="D87" s="32" t="s">
        <v>19</v>
      </c>
      <c r="E87" s="32" t="s">
        <v>20</v>
      </c>
      <c r="F87" s="36" t="s">
        <v>41</v>
      </c>
      <c r="G87" s="17" t="s">
        <v>622</v>
      </c>
      <c r="H87" s="32" t="s">
        <v>22</v>
      </c>
      <c r="I87" s="32" t="s">
        <v>19</v>
      </c>
      <c r="J87" s="32" t="s">
        <v>20</v>
      </c>
      <c r="K87" s="36" t="s">
        <v>41</v>
      </c>
      <c r="L87" s="17" t="s">
        <v>622</v>
      </c>
      <c r="M87" s="32" t="s">
        <v>22</v>
      </c>
      <c r="N87" s="32" t="s">
        <v>19</v>
      </c>
      <c r="O87" s="32" t="s">
        <v>20</v>
      </c>
      <c r="P87" s="36" t="s">
        <v>41</v>
      </c>
      <c r="Q87" s="17" t="s">
        <v>622</v>
      </c>
      <c r="R87" s="32" t="s">
        <v>22</v>
      </c>
      <c r="S87" s="32" t="s">
        <v>19</v>
      </c>
      <c r="T87" s="32" t="s">
        <v>20</v>
      </c>
      <c r="U87" s="36" t="s">
        <v>41</v>
      </c>
      <c r="V87" s="17" t="s">
        <v>622</v>
      </c>
      <c r="W87" s="32" t="s">
        <v>22</v>
      </c>
      <c r="X87" s="908"/>
      <c r="Y87" s="34"/>
      <c r="Z87" s="34"/>
      <c r="AA87" s="34"/>
      <c r="AB87" s="34"/>
    </row>
    <row r="88" spans="1:28" ht="17">
      <c r="A88" s="9"/>
      <c r="B88" s="362"/>
      <c r="C88" s="362"/>
      <c r="D88" s="362" t="s">
        <v>631</v>
      </c>
      <c r="E88" s="362" t="s">
        <v>632</v>
      </c>
      <c r="F88" s="362" t="s">
        <v>633</v>
      </c>
      <c r="G88" s="362" t="s">
        <v>654</v>
      </c>
      <c r="H88" s="362" t="s">
        <v>655</v>
      </c>
      <c r="I88" s="362" t="s">
        <v>656</v>
      </c>
      <c r="J88" s="362" t="s">
        <v>657</v>
      </c>
      <c r="K88" s="362" t="s">
        <v>658</v>
      </c>
      <c r="L88" s="362" t="s">
        <v>659</v>
      </c>
      <c r="M88" s="362" t="s">
        <v>660</v>
      </c>
      <c r="N88" s="362" t="s">
        <v>661</v>
      </c>
      <c r="O88" s="362" t="s">
        <v>662</v>
      </c>
      <c r="P88" s="362" t="s">
        <v>663</v>
      </c>
      <c r="Q88" s="362" t="s">
        <v>664</v>
      </c>
      <c r="R88" s="362" t="s">
        <v>665</v>
      </c>
      <c r="S88" s="362" t="s">
        <v>666</v>
      </c>
      <c r="T88" s="362" t="s">
        <v>667</v>
      </c>
      <c r="U88" s="362" t="s">
        <v>668</v>
      </c>
      <c r="V88" s="362" t="s">
        <v>669</v>
      </c>
      <c r="W88" s="362" t="s">
        <v>670</v>
      </c>
      <c r="X88" s="906"/>
      <c r="Y88" s="34"/>
      <c r="Z88" s="34"/>
      <c r="AA88" s="34"/>
      <c r="AB88" s="34"/>
    </row>
    <row r="89" spans="1:28" ht="17">
      <c r="A89" s="9"/>
      <c r="B89" s="1">
        <v>1</v>
      </c>
      <c r="C89" s="2" t="s">
        <v>588</v>
      </c>
      <c r="D89" s="37">
        <f t="shared" ref="D89:D94" si="63">W76</f>
        <v>0.70479999999999998</v>
      </c>
      <c r="E89" s="37">
        <f t="shared" ref="E89:G94" si="64">E31-E60</f>
        <v>0</v>
      </c>
      <c r="F89" s="37">
        <f t="shared" si="64"/>
        <v>0</v>
      </c>
      <c r="G89" s="37">
        <f t="shared" si="64"/>
        <v>0</v>
      </c>
      <c r="H89" s="37">
        <f>D89+E89-F89-G89</f>
        <v>0.70479999999999998</v>
      </c>
      <c r="I89" s="653">
        <f>H89</f>
        <v>0.70479999999999998</v>
      </c>
      <c r="J89" s="37">
        <f t="shared" ref="J89:L94" si="65">J31-J60</f>
        <v>0</v>
      </c>
      <c r="K89" s="37">
        <f t="shared" si="65"/>
        <v>0</v>
      </c>
      <c r="L89" s="37">
        <f t="shared" si="65"/>
        <v>0</v>
      </c>
      <c r="M89" s="37">
        <f>I89+J89-K89-L89</f>
        <v>0.70479999999999998</v>
      </c>
      <c r="N89" s="653">
        <f>M89</f>
        <v>0.70479999999999998</v>
      </c>
      <c r="O89" s="37">
        <f t="shared" ref="O89:Q94" si="66">O31-O60</f>
        <v>0</v>
      </c>
      <c r="P89" s="37">
        <f t="shared" si="66"/>
        <v>0</v>
      </c>
      <c r="Q89" s="37">
        <f t="shared" si="66"/>
        <v>0</v>
      </c>
      <c r="R89" s="37">
        <f>N89+O89-P89-Q89</f>
        <v>0.70479999999999998</v>
      </c>
      <c r="S89" s="653">
        <f>R89</f>
        <v>0.70479999999999998</v>
      </c>
      <c r="T89" s="37">
        <f t="shared" ref="T89:V94" si="67">T31-T60</f>
        <v>0</v>
      </c>
      <c r="U89" s="37">
        <f t="shared" si="67"/>
        <v>0</v>
      </c>
      <c r="V89" s="37">
        <f t="shared" si="67"/>
        <v>0</v>
      </c>
      <c r="W89" s="37">
        <f>S89+T89-U89-V89</f>
        <v>0.70479999999999998</v>
      </c>
      <c r="X89" s="910"/>
      <c r="Y89" s="34"/>
      <c r="Z89" s="34"/>
      <c r="AA89" s="34"/>
      <c r="AB89" s="34"/>
    </row>
    <row r="90" spans="1:28" ht="17">
      <c r="A90" s="9"/>
      <c r="B90" s="3">
        <v>2</v>
      </c>
      <c r="C90" s="4" t="s">
        <v>149</v>
      </c>
      <c r="D90" s="37">
        <f t="shared" si="63"/>
        <v>275.90586128760015</v>
      </c>
      <c r="E90" s="37">
        <f t="shared" si="64"/>
        <v>-29.090581977600007</v>
      </c>
      <c r="F90" s="37">
        <f t="shared" si="64"/>
        <v>0</v>
      </c>
      <c r="G90" s="37">
        <f t="shared" si="64"/>
        <v>0</v>
      </c>
      <c r="H90" s="37">
        <f t="shared" ref="H90:H94" si="68">D90+E90-F90-G90</f>
        <v>246.81527931000014</v>
      </c>
      <c r="I90" s="653">
        <f t="shared" ref="I90:I94" si="69">H90</f>
        <v>246.81527931000014</v>
      </c>
      <c r="J90" s="37">
        <f t="shared" si="65"/>
        <v>-29.090581977600007</v>
      </c>
      <c r="K90" s="37">
        <f t="shared" si="65"/>
        <v>0</v>
      </c>
      <c r="L90" s="37">
        <f t="shared" si="65"/>
        <v>0</v>
      </c>
      <c r="M90" s="37">
        <f t="shared" ref="M90:M94" si="70">I90+J90-K90-L90</f>
        <v>217.72469733240013</v>
      </c>
      <c r="N90" s="653">
        <f t="shared" ref="N90:N94" si="71">M90</f>
        <v>217.72469733240013</v>
      </c>
      <c r="O90" s="37">
        <f t="shared" si="66"/>
        <v>-29.090581977600007</v>
      </c>
      <c r="P90" s="37">
        <f t="shared" si="66"/>
        <v>0</v>
      </c>
      <c r="Q90" s="37">
        <f t="shared" si="66"/>
        <v>0</v>
      </c>
      <c r="R90" s="37">
        <f t="shared" ref="R90:R94" si="72">N90+O90-P90-Q90</f>
        <v>188.63411535480012</v>
      </c>
      <c r="S90" s="653">
        <f t="shared" ref="S90:S94" si="73">R90</f>
        <v>188.63411535480012</v>
      </c>
      <c r="T90" s="37">
        <f t="shared" si="67"/>
        <v>-29.090581977600007</v>
      </c>
      <c r="U90" s="37">
        <f t="shared" si="67"/>
        <v>0</v>
      </c>
      <c r="V90" s="37">
        <f t="shared" si="67"/>
        <v>0</v>
      </c>
      <c r="W90" s="37">
        <f t="shared" ref="W90:W94" si="74">S90+T90-U90-V90</f>
        <v>159.54353337720011</v>
      </c>
      <c r="X90" s="910"/>
      <c r="Y90" s="34"/>
      <c r="Z90" s="34"/>
      <c r="AA90" s="34"/>
      <c r="AB90" s="34"/>
    </row>
    <row r="91" spans="1:28" ht="17">
      <c r="A91" s="9"/>
      <c r="B91" s="3">
        <v>3</v>
      </c>
      <c r="C91" s="4" t="s">
        <v>156</v>
      </c>
      <c r="D91" s="37">
        <f t="shared" si="63"/>
        <v>0.11806237487000001</v>
      </c>
      <c r="E91" s="37">
        <f t="shared" si="64"/>
        <v>3.0181332999999928E-4</v>
      </c>
      <c r="F91" s="37">
        <f t="shared" si="64"/>
        <v>0</v>
      </c>
      <c r="G91" s="37">
        <f t="shared" si="64"/>
        <v>0</v>
      </c>
      <c r="H91" s="37">
        <f t="shared" si="68"/>
        <v>0.11836418820000001</v>
      </c>
      <c r="I91" s="653">
        <f t="shared" si="69"/>
        <v>0.11836418820000001</v>
      </c>
      <c r="J91" s="37">
        <f t="shared" si="65"/>
        <v>-3.311866700000006E-4</v>
      </c>
      <c r="K91" s="37">
        <f t="shared" si="65"/>
        <v>0</v>
      </c>
      <c r="L91" s="37">
        <f t="shared" si="65"/>
        <v>0</v>
      </c>
      <c r="M91" s="37">
        <f t="shared" si="70"/>
        <v>0.11803300153000001</v>
      </c>
      <c r="N91" s="653">
        <f t="shared" si="71"/>
        <v>0.11803300153000001</v>
      </c>
      <c r="O91" s="37">
        <f t="shared" si="66"/>
        <v>-9.6418667000000048E-4</v>
      </c>
      <c r="P91" s="37">
        <f t="shared" si="66"/>
        <v>0</v>
      </c>
      <c r="Q91" s="37">
        <f t="shared" si="66"/>
        <v>0</v>
      </c>
      <c r="R91" s="37">
        <f t="shared" si="72"/>
        <v>0.11706881486000001</v>
      </c>
      <c r="S91" s="653">
        <f t="shared" si="73"/>
        <v>0.11706881486000001</v>
      </c>
      <c r="T91" s="37">
        <f t="shared" si="67"/>
        <v>-1.5971866700000021E-3</v>
      </c>
      <c r="U91" s="37">
        <f t="shared" si="67"/>
        <v>0</v>
      </c>
      <c r="V91" s="37">
        <f t="shared" si="67"/>
        <v>0</v>
      </c>
      <c r="W91" s="37">
        <f t="shared" si="74"/>
        <v>0.11547162819000001</v>
      </c>
      <c r="X91" s="910"/>
      <c r="Y91" s="34"/>
      <c r="Z91" s="34"/>
      <c r="AA91" s="34"/>
      <c r="AB91" s="34"/>
    </row>
    <row r="92" spans="1:28" ht="17">
      <c r="A92" s="9"/>
      <c r="B92" s="3">
        <v>4</v>
      </c>
      <c r="C92" s="4" t="s">
        <v>710</v>
      </c>
      <c r="D92" s="37">
        <f t="shared" si="63"/>
        <v>2.0907607500000001E-2</v>
      </c>
      <c r="E92" s="37">
        <f t="shared" si="64"/>
        <v>-1.134665E-3</v>
      </c>
      <c r="F92" s="37">
        <f t="shared" si="64"/>
        <v>0</v>
      </c>
      <c r="G92" s="37">
        <f t="shared" si="64"/>
        <v>0</v>
      </c>
      <c r="H92" s="37">
        <f t="shared" si="68"/>
        <v>1.9772942500000001E-2</v>
      </c>
      <c r="I92" s="653">
        <f t="shared" si="69"/>
        <v>1.9772942500000001E-2</v>
      </c>
      <c r="J92" s="37">
        <f t="shared" si="65"/>
        <v>6.8730670000000001E-3</v>
      </c>
      <c r="K92" s="37">
        <f t="shared" si="65"/>
        <v>0</v>
      </c>
      <c r="L92" s="37">
        <f t="shared" si="65"/>
        <v>0</v>
      </c>
      <c r="M92" s="37">
        <f t="shared" si="70"/>
        <v>2.6646009500000001E-2</v>
      </c>
      <c r="N92" s="653">
        <f t="shared" si="71"/>
        <v>2.6646009500000001E-2</v>
      </c>
      <c r="O92" s="37">
        <f t="shared" si="66"/>
        <v>6.5730670000000001E-3</v>
      </c>
      <c r="P92" s="37">
        <f t="shared" si="66"/>
        <v>0</v>
      </c>
      <c r="Q92" s="37">
        <f t="shared" si="66"/>
        <v>0</v>
      </c>
      <c r="R92" s="37">
        <f t="shared" si="72"/>
        <v>3.32190765E-2</v>
      </c>
      <c r="S92" s="653">
        <f t="shared" si="73"/>
        <v>3.32190765E-2</v>
      </c>
      <c r="T92" s="37">
        <f t="shared" si="67"/>
        <v>-5.6346649999999988E-3</v>
      </c>
      <c r="U92" s="37">
        <f t="shared" si="67"/>
        <v>0</v>
      </c>
      <c r="V92" s="37">
        <f t="shared" si="67"/>
        <v>0</v>
      </c>
      <c r="W92" s="37">
        <f t="shared" si="74"/>
        <v>2.7584411500000003E-2</v>
      </c>
      <c r="X92" s="910"/>
      <c r="Y92" s="34"/>
      <c r="Z92" s="34"/>
      <c r="AA92" s="34"/>
      <c r="AB92" s="34"/>
    </row>
    <row r="93" spans="1:28" ht="17">
      <c r="A93" s="9"/>
      <c r="B93" s="3">
        <v>5</v>
      </c>
      <c r="C93" s="4" t="s">
        <v>711</v>
      </c>
      <c r="D93" s="37">
        <f t="shared" si="63"/>
        <v>6.2994332119999996E-2</v>
      </c>
      <c r="E93" s="37">
        <f t="shared" si="64"/>
        <v>-8.2008884699999989E-3</v>
      </c>
      <c r="F93" s="37">
        <f t="shared" si="64"/>
        <v>0</v>
      </c>
      <c r="G93" s="37">
        <f t="shared" si="64"/>
        <v>0</v>
      </c>
      <c r="H93" s="37">
        <f t="shared" si="68"/>
        <v>5.4793443649999996E-2</v>
      </c>
      <c r="I93" s="653">
        <f t="shared" si="69"/>
        <v>5.4793443649999996E-2</v>
      </c>
      <c r="J93" s="37">
        <f t="shared" si="65"/>
        <v>-8.2008884699999989E-3</v>
      </c>
      <c r="K93" s="37">
        <f t="shared" si="65"/>
        <v>0</v>
      </c>
      <c r="L93" s="37">
        <f t="shared" si="65"/>
        <v>0</v>
      </c>
      <c r="M93" s="37">
        <f t="shared" si="70"/>
        <v>4.6592555179999995E-2</v>
      </c>
      <c r="N93" s="653">
        <f t="shared" si="71"/>
        <v>4.6592555179999995E-2</v>
      </c>
      <c r="O93" s="37">
        <f t="shared" si="66"/>
        <v>-8.2008884699999989E-3</v>
      </c>
      <c r="P93" s="37">
        <f t="shared" si="66"/>
        <v>0</v>
      </c>
      <c r="Q93" s="37">
        <f t="shared" si="66"/>
        <v>0</v>
      </c>
      <c r="R93" s="37">
        <f t="shared" si="72"/>
        <v>3.8391666709999994E-2</v>
      </c>
      <c r="S93" s="653">
        <f t="shared" si="73"/>
        <v>3.8391666709999994E-2</v>
      </c>
      <c r="T93" s="37">
        <f t="shared" si="67"/>
        <v>-4.3185300000000001E-3</v>
      </c>
      <c r="U93" s="37">
        <f t="shared" si="67"/>
        <v>0</v>
      </c>
      <c r="V93" s="37">
        <f t="shared" si="67"/>
        <v>0</v>
      </c>
      <c r="W93" s="37">
        <f t="shared" si="74"/>
        <v>3.4073136709999993E-2</v>
      </c>
      <c r="X93" s="910"/>
      <c r="Y93" s="34"/>
      <c r="Z93" s="34"/>
      <c r="AA93" s="34"/>
      <c r="AB93" s="34"/>
    </row>
    <row r="94" spans="1:28" ht="17">
      <c r="A94" s="9"/>
      <c r="B94" s="3">
        <v>6</v>
      </c>
      <c r="C94" s="4" t="s">
        <v>150</v>
      </c>
      <c r="D94" s="37">
        <f t="shared" si="63"/>
        <v>1.97171316</v>
      </c>
      <c r="E94" s="37">
        <f t="shared" si="64"/>
        <v>-6.6973679999999994E-2</v>
      </c>
      <c r="F94" s="37">
        <f t="shared" si="64"/>
        <v>0</v>
      </c>
      <c r="G94" s="37">
        <f t="shared" si="64"/>
        <v>0</v>
      </c>
      <c r="H94" s="37">
        <f t="shared" si="68"/>
        <v>1.9047394799999999</v>
      </c>
      <c r="I94" s="653">
        <f t="shared" si="69"/>
        <v>1.9047394799999999</v>
      </c>
      <c r="J94" s="37">
        <f t="shared" si="65"/>
        <v>-6.6973679999999994E-2</v>
      </c>
      <c r="K94" s="37">
        <f t="shared" si="65"/>
        <v>0</v>
      </c>
      <c r="L94" s="37">
        <f t="shared" si="65"/>
        <v>0</v>
      </c>
      <c r="M94" s="37">
        <f t="shared" si="70"/>
        <v>1.8377657999999999</v>
      </c>
      <c r="N94" s="653">
        <f t="shared" si="71"/>
        <v>1.8377657999999999</v>
      </c>
      <c r="O94" s="37">
        <f t="shared" si="66"/>
        <v>-6.6973679999999994E-2</v>
      </c>
      <c r="P94" s="37">
        <f t="shared" si="66"/>
        <v>0</v>
      </c>
      <c r="Q94" s="37">
        <f t="shared" si="66"/>
        <v>0</v>
      </c>
      <c r="R94" s="37">
        <f t="shared" si="72"/>
        <v>1.7707921199999999</v>
      </c>
      <c r="S94" s="653">
        <f t="shared" si="73"/>
        <v>1.7707921199999999</v>
      </c>
      <c r="T94" s="37">
        <f t="shared" si="67"/>
        <v>-6.6973679999999994E-2</v>
      </c>
      <c r="U94" s="37">
        <f t="shared" si="67"/>
        <v>0</v>
      </c>
      <c r="V94" s="37">
        <f t="shared" si="67"/>
        <v>0</v>
      </c>
      <c r="W94" s="37">
        <f t="shared" si="74"/>
        <v>1.7038184399999998</v>
      </c>
      <c r="X94" s="910"/>
      <c r="Y94" s="34"/>
      <c r="Z94" s="34"/>
      <c r="AA94" s="34"/>
      <c r="AB94" s="34"/>
    </row>
    <row r="95" spans="1:28" ht="17">
      <c r="A95" s="9"/>
      <c r="B95" s="29"/>
      <c r="C95" s="30" t="s">
        <v>23</v>
      </c>
      <c r="D95" s="42">
        <f>SUM(D89:D94)</f>
        <v>278.78433876209016</v>
      </c>
      <c r="E95" s="42">
        <f t="shared" ref="E95" si="75">SUM(E89:E94)</f>
        <v>-29.166589397740005</v>
      </c>
      <c r="F95" s="42">
        <f t="shared" ref="F95" si="76">SUM(F89:F94)</f>
        <v>0</v>
      </c>
      <c r="G95" s="42">
        <f t="shared" ref="G95" si="77">SUM(G89:G94)</f>
        <v>0</v>
      </c>
      <c r="H95" s="42">
        <f t="shared" ref="H95" si="78">SUM(H89:H94)</f>
        <v>249.61774936435012</v>
      </c>
      <c r="I95" s="42">
        <f t="shared" ref="I95" si="79">SUM(I89:I94)</f>
        <v>249.61774936435012</v>
      </c>
      <c r="J95" s="42">
        <f t="shared" ref="J95" si="80">SUM(J89:J94)</f>
        <v>-29.159214665740006</v>
      </c>
      <c r="K95" s="42">
        <f t="shared" ref="K95" si="81">SUM(K89:K94)</f>
        <v>0</v>
      </c>
      <c r="L95" s="42">
        <f t="shared" ref="L95" si="82">SUM(L89:L94)</f>
        <v>0</v>
      </c>
      <c r="M95" s="42">
        <f t="shared" ref="M95" si="83">SUM(M89:M94)</f>
        <v>220.45853469861015</v>
      </c>
      <c r="N95" s="42">
        <f t="shared" ref="N95" si="84">SUM(N89:N94)</f>
        <v>220.45853469861015</v>
      </c>
      <c r="O95" s="42">
        <f t="shared" ref="O95" si="85">SUM(O89:O94)</f>
        <v>-29.160147665740006</v>
      </c>
      <c r="P95" s="42">
        <f t="shared" ref="P95" si="86">SUM(P89:P94)</f>
        <v>0</v>
      </c>
      <c r="Q95" s="42">
        <f t="shared" ref="Q95" si="87">SUM(Q89:Q94)</f>
        <v>0</v>
      </c>
      <c r="R95" s="42">
        <f t="shared" ref="R95" si="88">SUM(R89:R94)</f>
        <v>191.29838703287012</v>
      </c>
      <c r="S95" s="42">
        <f t="shared" ref="S95" si="89">SUM(S89:S94)</f>
        <v>191.29838703287012</v>
      </c>
      <c r="T95" s="42">
        <f t="shared" ref="T95" si="90">SUM(T89:T94)</f>
        <v>-29.169106039270005</v>
      </c>
      <c r="U95" s="42">
        <f t="shared" ref="U95" si="91">SUM(U89:U94)</f>
        <v>0</v>
      </c>
      <c r="V95" s="42">
        <f t="shared" ref="V95" si="92">SUM(V89:V94)</f>
        <v>0</v>
      </c>
      <c r="W95" s="42">
        <f t="shared" ref="W95" si="93">SUM(W89:W94)</f>
        <v>162.12928099360008</v>
      </c>
      <c r="X95" s="35"/>
      <c r="Y95" s="34"/>
      <c r="Z95" s="34"/>
      <c r="AA95" s="34"/>
      <c r="AB95" s="34"/>
    </row>
  </sheetData>
  <protectedRanges>
    <protectedRange sqref="C15:C20 C31:C36 C47:C52 C60:C65 C76:C81 C89:C94" name="Protect_Sch5"/>
  </protectedRanges>
  <mergeCells count="64">
    <mergeCell ref="B4:W4"/>
    <mergeCell ref="B5:W5"/>
    <mergeCell ref="B6:W6"/>
    <mergeCell ref="I86:M86"/>
    <mergeCell ref="I73:M73"/>
    <mergeCell ref="I28:M28"/>
    <mergeCell ref="B56:B58"/>
    <mergeCell ref="C56:C58"/>
    <mergeCell ref="I85:M85"/>
    <mergeCell ref="B43:B45"/>
    <mergeCell ref="C43:C45"/>
    <mergeCell ref="I43:M43"/>
    <mergeCell ref="B72:B74"/>
    <mergeCell ref="C72:C74"/>
    <mergeCell ref="I72:M72"/>
    <mergeCell ref="D86:H86"/>
    <mergeCell ref="I11:M11"/>
    <mergeCell ref="N11:R11"/>
    <mergeCell ref="B11:B13"/>
    <mergeCell ref="C11:C13"/>
    <mergeCell ref="I12:M12"/>
    <mergeCell ref="N12:R12"/>
    <mergeCell ref="D11:H11"/>
    <mergeCell ref="D12:H12"/>
    <mergeCell ref="N28:R28"/>
    <mergeCell ref="S28:W28"/>
    <mergeCell ref="I27:M27"/>
    <mergeCell ref="N27:R27"/>
    <mergeCell ref="S27:W27"/>
    <mergeCell ref="N43:R43"/>
    <mergeCell ref="I44:M44"/>
    <mergeCell ref="N44:R44"/>
    <mergeCell ref="N86:R86"/>
    <mergeCell ref="S86:W86"/>
    <mergeCell ref="N85:R85"/>
    <mergeCell ref="N72:R72"/>
    <mergeCell ref="N73:R73"/>
    <mergeCell ref="S85:W85"/>
    <mergeCell ref="S72:W72"/>
    <mergeCell ref="S73:W73"/>
    <mergeCell ref="I56:M56"/>
    <mergeCell ref="N56:R56"/>
    <mergeCell ref="I57:M57"/>
    <mergeCell ref="N57:R57"/>
    <mergeCell ref="S57:W57"/>
    <mergeCell ref="S11:W11"/>
    <mergeCell ref="S12:W12"/>
    <mergeCell ref="S43:W43"/>
    <mergeCell ref="S44:W44"/>
    <mergeCell ref="S56:W56"/>
    <mergeCell ref="B24:G24"/>
    <mergeCell ref="D57:H57"/>
    <mergeCell ref="D72:H72"/>
    <mergeCell ref="D73:H73"/>
    <mergeCell ref="D85:H85"/>
    <mergeCell ref="B27:B29"/>
    <mergeCell ref="C27:C29"/>
    <mergeCell ref="B85:B87"/>
    <mergeCell ref="C85:C87"/>
    <mergeCell ref="D27:H27"/>
    <mergeCell ref="D28:H28"/>
    <mergeCell ref="D43:H43"/>
    <mergeCell ref="D44:H44"/>
    <mergeCell ref="D56:H56"/>
  </mergeCells>
  <pageMargins left="0.43307086614173229" right="0.43307086614173229" top="0.43307086614173229" bottom="0.43307086614173229" header="0.31496062992125984" footer="0.31496062992125984"/>
  <pageSetup paperSize="9" scale="60" fitToWidth="6" fitToHeight="6" orientation="landscape" r:id="rId1"/>
  <headerFooter>
    <oddFooter>&amp;CPage. &amp;P</oddFooter>
  </headerFooter>
  <rowBreaks count="2" manualBreakCount="2">
    <brk id="38" max="16383" man="1"/>
    <brk id="68" max="16383" man="1"/>
  </rowBreaks>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U117"/>
  <sheetViews>
    <sheetView showGridLines="0" view="pageBreakPreview" zoomScale="80" zoomScaleNormal="75" zoomScaleSheetLayoutView="80" workbookViewId="0"/>
  </sheetViews>
  <sheetFormatPr baseColWidth="10" defaultColWidth="9.1640625" defaultRowHeight="15"/>
  <cols>
    <col min="1" max="1" width="6.83203125" style="275" customWidth="1"/>
    <col min="2" max="2" width="7" style="275" customWidth="1"/>
    <col min="3" max="3" width="57.1640625" style="327" customWidth="1"/>
    <col min="4" max="12" width="11.6640625" style="275" customWidth="1"/>
    <col min="13" max="17" width="11.83203125" style="275" customWidth="1"/>
    <col min="18" max="18" width="11.83203125" style="275" hidden="1" customWidth="1"/>
    <col min="19" max="20" width="18.6640625" style="275" customWidth="1"/>
    <col min="21" max="22" width="9.1640625" style="275"/>
    <col min="23" max="23" width="21.1640625" style="275" bestFit="1" customWidth="1"/>
    <col min="24" max="25" width="14.1640625" style="275" bestFit="1" customWidth="1"/>
    <col min="26" max="30" width="14.6640625" style="275" bestFit="1" customWidth="1"/>
    <col min="31" max="16384" width="9.1640625" style="275"/>
  </cols>
  <sheetData>
    <row r="2" spans="2:21">
      <c r="B2" s="1148" t="str">
        <f>Index!B2</f>
        <v>Jaigad Power Transco Ltd</v>
      </c>
      <c r="C2" s="1148"/>
      <c r="D2" s="1148"/>
      <c r="E2" s="1148"/>
      <c r="F2" s="1148"/>
      <c r="G2" s="1148"/>
      <c r="H2" s="1148"/>
      <c r="I2" s="1148"/>
      <c r="J2" s="1148"/>
      <c r="K2" s="1148"/>
      <c r="L2" s="1148"/>
      <c r="M2" s="1148"/>
      <c r="N2" s="1148"/>
      <c r="O2" s="1148"/>
      <c r="P2" s="1148"/>
      <c r="Q2" s="1148"/>
      <c r="R2" s="1148"/>
    </row>
    <row r="3" spans="2:21" s="9" customFormat="1">
      <c r="B3" s="1149" t="s">
        <v>186</v>
      </c>
      <c r="C3" s="1149"/>
      <c r="D3" s="1149"/>
      <c r="E3" s="1149"/>
      <c r="F3" s="1149"/>
      <c r="G3" s="1149"/>
      <c r="H3" s="1149"/>
      <c r="I3" s="1149"/>
      <c r="J3" s="1149"/>
      <c r="K3" s="1149"/>
      <c r="L3" s="1149"/>
      <c r="M3" s="1149"/>
      <c r="N3" s="1149"/>
      <c r="O3" s="1149"/>
      <c r="P3" s="1149"/>
      <c r="Q3" s="1149"/>
      <c r="R3" s="1149"/>
    </row>
    <row r="4" spans="2:21" s="9" customFormat="1">
      <c r="B4" s="1150" t="s">
        <v>255</v>
      </c>
      <c r="C4" s="1150"/>
      <c r="D4" s="1150"/>
      <c r="E4" s="1150"/>
      <c r="F4" s="1150"/>
      <c r="G4" s="1150"/>
      <c r="H4" s="1150"/>
      <c r="I4" s="1150"/>
      <c r="J4" s="1150"/>
      <c r="K4" s="1150"/>
      <c r="L4" s="1150"/>
      <c r="M4" s="1150"/>
      <c r="N4" s="1150"/>
      <c r="O4" s="1150"/>
      <c r="P4" s="1150"/>
      <c r="Q4" s="1150"/>
      <c r="R4" s="1150"/>
    </row>
    <row r="5" spans="2:21" s="9" customFormat="1">
      <c r="C5" s="920"/>
      <c r="D5" s="13"/>
      <c r="E5" s="13"/>
      <c r="F5" s="13"/>
      <c r="G5" s="13"/>
      <c r="H5" s="375"/>
      <c r="I5" s="396"/>
      <c r="J5" s="376"/>
      <c r="K5" s="375"/>
      <c r="L5" s="375"/>
      <c r="M5" s="375"/>
      <c r="N5" s="375"/>
      <c r="O5" s="375"/>
      <c r="P5" s="375"/>
      <c r="Q5" s="375"/>
    </row>
    <row r="6" spans="2:21" s="9" customFormat="1" ht="16">
      <c r="B6" s="378"/>
      <c r="C6" s="921" t="s">
        <v>246</v>
      </c>
      <c r="D6" s="397"/>
      <c r="E6" s="397"/>
      <c r="F6" s="397"/>
      <c r="G6" s="375"/>
      <c r="H6" s="396"/>
      <c r="I6" s="376"/>
      <c r="J6" s="375"/>
      <c r="K6" s="375"/>
      <c r="L6" s="375"/>
      <c r="M6" s="375"/>
      <c r="N6" s="375"/>
      <c r="O6" s="375"/>
      <c r="P6" s="375"/>
    </row>
    <row r="7" spans="2:21" s="9" customFormat="1">
      <c r="B7" s="378"/>
      <c r="C7" s="920"/>
      <c r="D7" s="13"/>
      <c r="E7" s="13"/>
      <c r="F7" s="13"/>
      <c r="G7" s="13"/>
      <c r="H7" s="375"/>
      <c r="I7" s="375"/>
      <c r="J7" s="375"/>
      <c r="K7" s="396"/>
      <c r="L7" s="396"/>
      <c r="M7" s="376"/>
      <c r="N7" s="375"/>
      <c r="O7" s="375"/>
      <c r="P7" s="375"/>
      <c r="Q7" s="278" t="s">
        <v>33</v>
      </c>
    </row>
    <row r="8" spans="2:21">
      <c r="B8" s="983" t="s">
        <v>240</v>
      </c>
      <c r="C8" s="983" t="s">
        <v>43</v>
      </c>
      <c r="D8" s="987" t="s">
        <v>213</v>
      </c>
      <c r="E8" s="988"/>
      <c r="F8" s="989"/>
      <c r="G8" s="987" t="s">
        <v>214</v>
      </c>
      <c r="H8" s="988"/>
      <c r="I8" s="989"/>
      <c r="J8" s="987" t="s">
        <v>215</v>
      </c>
      <c r="K8" s="988"/>
      <c r="L8" s="989"/>
      <c r="M8" s="987" t="s">
        <v>174</v>
      </c>
      <c r="N8" s="988"/>
      <c r="O8" s="988"/>
      <c r="P8" s="988"/>
      <c r="Q8" s="989"/>
      <c r="R8" s="1071" t="s">
        <v>37</v>
      </c>
    </row>
    <row r="9" spans="2:21" ht="48">
      <c r="B9" s="983"/>
      <c r="C9" s="983"/>
      <c r="D9" s="785" t="s">
        <v>313</v>
      </c>
      <c r="E9" s="785" t="s">
        <v>778</v>
      </c>
      <c r="F9" s="785" t="s">
        <v>312</v>
      </c>
      <c r="G9" s="785" t="s">
        <v>313</v>
      </c>
      <c r="H9" s="785" t="s">
        <v>778</v>
      </c>
      <c r="I9" s="785" t="s">
        <v>312</v>
      </c>
      <c r="J9" s="785" t="s">
        <v>313</v>
      </c>
      <c r="K9" s="785" t="s">
        <v>59</v>
      </c>
      <c r="L9" s="785" t="s">
        <v>316</v>
      </c>
      <c r="M9" s="785" t="s">
        <v>540</v>
      </c>
      <c r="N9" s="785" t="s">
        <v>541</v>
      </c>
      <c r="O9" s="785" t="s">
        <v>542</v>
      </c>
      <c r="P9" s="785" t="s">
        <v>543</v>
      </c>
      <c r="Q9" s="785" t="s">
        <v>544</v>
      </c>
      <c r="R9" s="1152"/>
    </row>
    <row r="10" spans="2:21" ht="16">
      <c r="B10" s="786"/>
      <c r="C10" s="892"/>
      <c r="D10" s="785" t="s">
        <v>56</v>
      </c>
      <c r="E10" s="785" t="s">
        <v>57</v>
      </c>
      <c r="F10" s="785" t="s">
        <v>317</v>
      </c>
      <c r="G10" s="785" t="s">
        <v>318</v>
      </c>
      <c r="H10" s="785" t="s">
        <v>319</v>
      </c>
      <c r="I10" s="785" t="s">
        <v>545</v>
      </c>
      <c r="J10" s="785" t="s">
        <v>546</v>
      </c>
      <c r="K10" s="785" t="s">
        <v>547</v>
      </c>
      <c r="L10" s="785" t="s">
        <v>567</v>
      </c>
      <c r="M10" s="785" t="s">
        <v>86</v>
      </c>
      <c r="N10" s="785" t="s">
        <v>86</v>
      </c>
      <c r="O10" s="785" t="s">
        <v>86</v>
      </c>
      <c r="P10" s="785" t="s">
        <v>86</v>
      </c>
      <c r="Q10" s="785" t="s">
        <v>86</v>
      </c>
      <c r="R10" s="787"/>
      <c r="S10" s="398"/>
      <c r="T10" s="398"/>
      <c r="U10" s="398"/>
    </row>
    <row r="11" spans="2:21" ht="16">
      <c r="B11" s="279">
        <v>1</v>
      </c>
      <c r="C11" s="922" t="s">
        <v>247</v>
      </c>
      <c r="D11" s="587">
        <f>SUM(Capitalisaiton!M26:S26)-SUM(Capitalisaiton!M28:S28)</f>
        <v>412.44801318999998</v>
      </c>
      <c r="E11" s="587">
        <f>SUM(Capitalisaiton!M26:S26)-SUM(Capitalisaiton!M28:S28)</f>
        <v>412.44801318999998</v>
      </c>
      <c r="F11" s="587">
        <f>E11-D11</f>
        <v>0</v>
      </c>
      <c r="G11" s="587">
        <f>D18</f>
        <v>412.79801319000001</v>
      </c>
      <c r="H11" s="587">
        <f>E18</f>
        <v>412.76691037000001</v>
      </c>
      <c r="I11" s="587">
        <f>H11-G11</f>
        <v>-3.1102820000000975E-2</v>
      </c>
      <c r="J11" s="587">
        <f>G18</f>
        <v>412.79801319000001</v>
      </c>
      <c r="K11" s="587">
        <f>H18</f>
        <v>412.76774267000002</v>
      </c>
      <c r="L11" s="587">
        <f>K11-J11</f>
        <v>-3.0270519999987755E-2</v>
      </c>
      <c r="M11" s="587">
        <f>K18</f>
        <v>412.80974266999999</v>
      </c>
      <c r="N11" s="588">
        <f>M18</f>
        <v>414.74874267000001</v>
      </c>
      <c r="O11" s="588">
        <f t="shared" ref="O11:Q11" si="0">N18</f>
        <v>414.76274267000002</v>
      </c>
      <c r="P11" s="588">
        <f t="shared" si="0"/>
        <v>414.77674267000003</v>
      </c>
      <c r="Q11" s="588">
        <f t="shared" si="0"/>
        <v>414.79074267000004</v>
      </c>
      <c r="R11" s="280"/>
      <c r="S11" s="398"/>
      <c r="T11" s="398"/>
      <c r="U11" s="398"/>
    </row>
    <row r="12" spans="2:21" ht="16">
      <c r="B12" s="279">
        <f>B11+1</f>
        <v>2</v>
      </c>
      <c r="C12" s="922" t="s">
        <v>248</v>
      </c>
      <c r="D12" s="587">
        <f>D11-D13</f>
        <v>159.32801318999998</v>
      </c>
      <c r="E12" s="587">
        <f>SUM(Capitalisaiton!M27:S27)-SUM(Capitalisaiton!M29:S29)</f>
        <v>158.68499999999997</v>
      </c>
      <c r="F12" s="587">
        <f t="shared" ref="F12:F16" si="1">E12-D12</f>
        <v>-0.6430131900000049</v>
      </c>
      <c r="G12" s="587">
        <f>D12+D16</f>
        <v>188.42801318999997</v>
      </c>
      <c r="H12" s="587">
        <f>E12+E16</f>
        <v>187.78181892353999</v>
      </c>
      <c r="I12" s="587">
        <f t="shared" ref="I12:I16" si="2">H12-G12</f>
        <v>-0.64619426645998601</v>
      </c>
      <c r="J12" s="587">
        <f>G12+G16</f>
        <v>217.54801318999998</v>
      </c>
      <c r="K12" s="587">
        <f>H12+H16</f>
        <v>216.89030259443001</v>
      </c>
      <c r="L12" s="587">
        <f t="shared" ref="L12:L16" si="3">K12-J12</f>
        <v>-0.65771059556996647</v>
      </c>
      <c r="M12" s="587">
        <f>K12+K16</f>
        <v>245.99594658017003</v>
      </c>
      <c r="N12" s="587">
        <f>M12+M16</f>
        <v>275.14565013791002</v>
      </c>
      <c r="O12" s="587">
        <f t="shared" ref="O12:Q12" si="4">N12+N16</f>
        <v>304.33223953565005</v>
      </c>
      <c r="P12" s="587">
        <f t="shared" si="4"/>
        <v>333.51145420139005</v>
      </c>
      <c r="Q12" s="587">
        <f t="shared" si="4"/>
        <v>362.69160186713009</v>
      </c>
      <c r="R12" s="280"/>
      <c r="S12" s="398"/>
      <c r="T12" s="398"/>
      <c r="U12" s="398"/>
    </row>
    <row r="13" spans="2:21" ht="16">
      <c r="B13" s="279">
        <f t="shared" ref="B13:B18" si="5">B12+1</f>
        <v>3</v>
      </c>
      <c r="C13" s="922" t="s">
        <v>249</v>
      </c>
      <c r="D13" s="587">
        <v>253.12</v>
      </c>
      <c r="E13" s="587">
        <f t="shared" ref="E13:Q13" si="6">E11-E12</f>
        <v>253.76301319000001</v>
      </c>
      <c r="F13" s="587">
        <f t="shared" si="1"/>
        <v>0.6430131900000049</v>
      </c>
      <c r="G13" s="587">
        <f>D17</f>
        <v>224.37</v>
      </c>
      <c r="H13" s="587">
        <f t="shared" si="6"/>
        <v>224.98509144646002</v>
      </c>
      <c r="I13" s="587">
        <f t="shared" si="2"/>
        <v>0.61509144646001346</v>
      </c>
      <c r="J13" s="587">
        <f>G17</f>
        <v>195.25</v>
      </c>
      <c r="K13" s="587">
        <f t="shared" si="6"/>
        <v>195.87744007557001</v>
      </c>
      <c r="L13" s="587">
        <f t="shared" si="3"/>
        <v>0.62744007557000714</v>
      </c>
      <c r="M13" s="587">
        <f t="shared" si="6"/>
        <v>166.81379608982996</v>
      </c>
      <c r="N13" s="587">
        <f t="shared" si="6"/>
        <v>139.60309253208999</v>
      </c>
      <c r="O13" s="587">
        <f t="shared" si="6"/>
        <v>110.43050313434998</v>
      </c>
      <c r="P13" s="587">
        <f t="shared" si="6"/>
        <v>81.265288468609981</v>
      </c>
      <c r="Q13" s="587">
        <f t="shared" si="6"/>
        <v>52.099140802869954</v>
      </c>
      <c r="R13" s="280"/>
      <c r="S13" s="398"/>
      <c r="T13" s="398"/>
      <c r="U13" s="398"/>
    </row>
    <row r="14" spans="2:21" ht="32">
      <c r="B14" s="279">
        <f t="shared" si="5"/>
        <v>4</v>
      </c>
      <c r="C14" s="922" t="s">
        <v>250</v>
      </c>
      <c r="D14" s="587"/>
      <c r="E14" s="587"/>
      <c r="F14" s="587"/>
      <c r="G14" s="587"/>
      <c r="H14" s="588">
        <f>'F4'!K22*75%</f>
        <v>1.0874999999999999E-3</v>
      </c>
      <c r="I14" s="587"/>
      <c r="J14" s="588"/>
      <c r="K14" s="588"/>
      <c r="L14" s="587"/>
      <c r="M14" s="588"/>
      <c r="N14" s="588"/>
      <c r="O14" s="588"/>
      <c r="P14" s="588"/>
      <c r="Q14" s="588"/>
      <c r="R14" s="280"/>
      <c r="S14" s="398"/>
      <c r="T14" s="398"/>
      <c r="U14" s="398"/>
    </row>
    <row r="15" spans="2:21" ht="16">
      <c r="B15" s="279">
        <f t="shared" si="5"/>
        <v>5</v>
      </c>
      <c r="C15" s="922" t="s">
        <v>348</v>
      </c>
      <c r="D15" s="587">
        <v>0.35</v>
      </c>
      <c r="E15" s="587">
        <f>'F3'!E14*70%</f>
        <v>0.31889717999999995</v>
      </c>
      <c r="F15" s="587">
        <f t="shared" si="1"/>
        <v>-3.1102820000000031E-2</v>
      </c>
      <c r="G15" s="587">
        <v>0</v>
      </c>
      <c r="H15" s="588">
        <f>'F3'!H14*70%</f>
        <v>8.322999999999999E-4</v>
      </c>
      <c r="I15" s="587">
        <f t="shared" si="2"/>
        <v>8.322999999999999E-4</v>
      </c>
      <c r="J15" s="588">
        <v>1.94</v>
      </c>
      <c r="K15" s="588">
        <f>'F3'!M14*70%</f>
        <v>4.2000000000000003E-2</v>
      </c>
      <c r="L15" s="587">
        <f t="shared" si="3"/>
        <v>-1.8979999999999999</v>
      </c>
      <c r="M15" s="588">
        <f>'F3'!O14*70%</f>
        <v>1.9389999999999998</v>
      </c>
      <c r="N15" s="588">
        <f>'F3'!P14*70%</f>
        <v>1.3999999999999999E-2</v>
      </c>
      <c r="O15" s="588">
        <f>'F3'!Q14*70%</f>
        <v>1.3999999999999999E-2</v>
      </c>
      <c r="P15" s="588">
        <f>'F3'!R14*70%</f>
        <v>1.3999999999999999E-2</v>
      </c>
      <c r="Q15" s="588">
        <f>'F3'!S14*70%</f>
        <v>1.3999999999999999E-2</v>
      </c>
      <c r="R15" s="280"/>
      <c r="S15" s="398"/>
      <c r="T15" s="398"/>
      <c r="U15" s="398"/>
    </row>
    <row r="16" spans="2:21" ht="16">
      <c r="B16" s="279">
        <f t="shared" si="5"/>
        <v>6</v>
      </c>
      <c r="C16" s="922" t="s">
        <v>251</v>
      </c>
      <c r="D16" s="587">
        <f>'F1 '!E10</f>
        <v>29.1</v>
      </c>
      <c r="E16" s="587">
        <f>'F1 '!F10</f>
        <v>29.096818923540006</v>
      </c>
      <c r="F16" s="587">
        <f t="shared" si="1"/>
        <v>-3.1810764599953245E-3</v>
      </c>
      <c r="G16" s="587">
        <f>'F1 '!H10</f>
        <v>29.12</v>
      </c>
      <c r="H16" s="588">
        <f>'F1 '!I10</f>
        <v>29.10848367089001</v>
      </c>
      <c r="I16" s="587">
        <f t="shared" si="2"/>
        <v>-1.1516329109991119E-2</v>
      </c>
      <c r="J16" s="587">
        <f>'F1 '!K10</f>
        <v>29.16</v>
      </c>
      <c r="K16" s="588">
        <f>'F1 '!N10</f>
        <v>29.105643985740006</v>
      </c>
      <c r="L16" s="587">
        <f t="shared" si="3"/>
        <v>-5.4356014259994367E-2</v>
      </c>
      <c r="M16" s="588">
        <f>'F1 '!P10</f>
        <v>29.149703557740004</v>
      </c>
      <c r="N16" s="588">
        <f>'F1 '!Q10</f>
        <v>29.186589397740008</v>
      </c>
      <c r="O16" s="588">
        <f>'F1 '!R10</f>
        <v>29.179214665740009</v>
      </c>
      <c r="P16" s="588">
        <f>'F1 '!S10</f>
        <v>29.180147665740009</v>
      </c>
      <c r="Q16" s="588">
        <f>'F1 '!T10</f>
        <v>29.189106039270005</v>
      </c>
      <c r="R16" s="280"/>
      <c r="S16" s="398"/>
      <c r="T16" s="398"/>
      <c r="U16" s="398"/>
    </row>
    <row r="17" spans="1:21" ht="16">
      <c r="B17" s="279">
        <f t="shared" si="5"/>
        <v>7</v>
      </c>
      <c r="C17" s="922" t="s">
        <v>252</v>
      </c>
      <c r="D17" s="587">
        <f t="shared" ref="D17:G17" si="7">D13+D15-D16-D14</f>
        <v>224.37</v>
      </c>
      <c r="E17" s="587">
        <f t="shared" si="7"/>
        <v>224.98509144645999</v>
      </c>
      <c r="F17" s="587">
        <f t="shared" si="7"/>
        <v>0.61509144646000014</v>
      </c>
      <c r="G17" s="587">
        <f t="shared" si="7"/>
        <v>195.25</v>
      </c>
      <c r="H17" s="587">
        <f>H13+H15-H16-H14</f>
        <v>195.87635257557</v>
      </c>
      <c r="I17" s="587">
        <f t="shared" ref="I17:Q17" si="8">I13+I15-I16-I14</f>
        <v>0.62744007557000459</v>
      </c>
      <c r="J17" s="587">
        <f t="shared" si="8"/>
        <v>168.03</v>
      </c>
      <c r="K17" s="587">
        <f t="shared" si="8"/>
        <v>166.81379608982999</v>
      </c>
      <c r="L17" s="587">
        <f t="shared" si="8"/>
        <v>-1.2162039101699984</v>
      </c>
      <c r="M17" s="587">
        <f t="shared" si="8"/>
        <v>139.60309253208996</v>
      </c>
      <c r="N17" s="587">
        <f t="shared" si="8"/>
        <v>110.43050313434999</v>
      </c>
      <c r="O17" s="587">
        <f t="shared" si="8"/>
        <v>81.265288468609967</v>
      </c>
      <c r="P17" s="587">
        <f t="shared" si="8"/>
        <v>52.099140802869968</v>
      </c>
      <c r="Q17" s="587">
        <f t="shared" si="8"/>
        <v>22.924034763599952</v>
      </c>
      <c r="R17" s="280"/>
      <c r="S17" s="398"/>
      <c r="T17" s="398"/>
      <c r="U17" s="398"/>
    </row>
    <row r="18" spans="1:21" ht="16">
      <c r="B18" s="279">
        <f t="shared" si="5"/>
        <v>8</v>
      </c>
      <c r="C18" s="922" t="s">
        <v>253</v>
      </c>
      <c r="D18" s="587">
        <f>D11+D15</f>
        <v>412.79801319000001</v>
      </c>
      <c r="E18" s="587">
        <f t="shared" ref="E18:Q18" si="9">E11+E15</f>
        <v>412.76691037000001</v>
      </c>
      <c r="F18" s="587">
        <f t="shared" si="9"/>
        <v>-3.1102820000000031E-2</v>
      </c>
      <c r="G18" s="587">
        <f t="shared" si="9"/>
        <v>412.79801319000001</v>
      </c>
      <c r="H18" s="587">
        <f t="shared" si="9"/>
        <v>412.76774267000002</v>
      </c>
      <c r="I18" s="587">
        <f t="shared" ref="I18" si="10">I11+I15</f>
        <v>-3.0270520000000974E-2</v>
      </c>
      <c r="J18" s="587">
        <f t="shared" si="9"/>
        <v>414.73801319</v>
      </c>
      <c r="K18" s="587">
        <f t="shared" si="9"/>
        <v>412.80974266999999</v>
      </c>
      <c r="L18" s="587">
        <f t="shared" si="9"/>
        <v>-1.9282705199999877</v>
      </c>
      <c r="M18" s="587">
        <f t="shared" si="9"/>
        <v>414.74874267000001</v>
      </c>
      <c r="N18" s="587">
        <f t="shared" si="9"/>
        <v>414.76274267000002</v>
      </c>
      <c r="O18" s="587">
        <f t="shared" si="9"/>
        <v>414.77674267000003</v>
      </c>
      <c r="P18" s="587">
        <f t="shared" si="9"/>
        <v>414.79074267000004</v>
      </c>
      <c r="Q18" s="587">
        <f t="shared" si="9"/>
        <v>414.80474267000005</v>
      </c>
      <c r="R18" s="280"/>
      <c r="S18" s="398"/>
      <c r="T18" s="398"/>
      <c r="U18" s="398"/>
    </row>
    <row r="19" spans="1:21" ht="16">
      <c r="B19" s="279">
        <v>9</v>
      </c>
      <c r="C19" s="922" t="s">
        <v>349</v>
      </c>
      <c r="D19" s="587">
        <f>AVERAGE(D13,D17)</f>
        <v>238.745</v>
      </c>
      <c r="E19" s="587">
        <f t="shared" ref="E19:Q19" si="11">AVERAGE(E13,E17)</f>
        <v>239.37405231822999</v>
      </c>
      <c r="F19" s="587">
        <f t="shared" si="11"/>
        <v>0.62905231823000252</v>
      </c>
      <c r="G19" s="587">
        <f t="shared" si="11"/>
        <v>209.81</v>
      </c>
      <c r="H19" s="587">
        <f t="shared" si="11"/>
        <v>210.43072201101501</v>
      </c>
      <c r="I19" s="587">
        <f t="shared" ref="I19" si="12">AVERAGE(I13,I17)</f>
        <v>0.62126576101500897</v>
      </c>
      <c r="J19" s="587">
        <f t="shared" si="11"/>
        <v>181.64</v>
      </c>
      <c r="K19" s="587">
        <f t="shared" si="11"/>
        <v>181.34561808270001</v>
      </c>
      <c r="L19" s="587">
        <f t="shared" si="11"/>
        <v>-0.29438191729999563</v>
      </c>
      <c r="M19" s="587">
        <f t="shared" si="11"/>
        <v>153.20844431095998</v>
      </c>
      <c r="N19" s="587">
        <f t="shared" si="11"/>
        <v>125.01679783321998</v>
      </c>
      <c r="O19" s="587">
        <f t="shared" si="11"/>
        <v>95.847895801479979</v>
      </c>
      <c r="P19" s="587">
        <f t="shared" si="11"/>
        <v>66.682214635739967</v>
      </c>
      <c r="Q19" s="587">
        <f t="shared" si="11"/>
        <v>37.511587783234951</v>
      </c>
      <c r="R19" s="280"/>
      <c r="S19" s="398"/>
      <c r="T19" s="398"/>
      <c r="U19" s="398"/>
    </row>
    <row r="20" spans="1:21" s="911" customFormat="1" ht="16">
      <c r="A20" s="275"/>
      <c r="B20" s="279">
        <v>10</v>
      </c>
      <c r="C20" s="922" t="s">
        <v>350</v>
      </c>
      <c r="D20" s="917">
        <v>9.8299999999999998E-2</v>
      </c>
      <c r="E20" s="916">
        <f>(E65*5+E107*7)/12</f>
        <v>9.8132318170183461E-2</v>
      </c>
      <c r="F20" s="918"/>
      <c r="G20" s="919">
        <v>9.2499999999999999E-2</v>
      </c>
      <c r="H20" s="916">
        <f>H107</f>
        <v>9.3083561643835633E-2</v>
      </c>
      <c r="I20" s="918"/>
      <c r="J20" s="919">
        <v>9.2499999999999999E-2</v>
      </c>
      <c r="K20" s="916">
        <f>K107</f>
        <v>9.35E-2</v>
      </c>
      <c r="L20" s="918"/>
      <c r="M20" s="916">
        <f t="shared" ref="M20:Q20" si="13">M107</f>
        <v>9.35E-2</v>
      </c>
      <c r="N20" s="916">
        <f t="shared" si="13"/>
        <v>9.3500000000000014E-2</v>
      </c>
      <c r="O20" s="916">
        <f t="shared" si="13"/>
        <v>9.35E-2</v>
      </c>
      <c r="P20" s="916">
        <f t="shared" si="13"/>
        <v>9.35E-2</v>
      </c>
      <c r="Q20" s="916">
        <f t="shared" si="13"/>
        <v>9.35E-2</v>
      </c>
      <c r="R20" s="481"/>
      <c r="S20" s="483"/>
      <c r="T20" s="483"/>
      <c r="U20" s="483"/>
    </row>
    <row r="21" spans="1:21" ht="16">
      <c r="B21" s="279">
        <v>11</v>
      </c>
      <c r="C21" s="922" t="s">
        <v>72</v>
      </c>
      <c r="D21" s="587">
        <f>D19*D20</f>
        <v>23.468633499999999</v>
      </c>
      <c r="E21" s="587">
        <f>E19*E20</f>
        <v>23.490330663778686</v>
      </c>
      <c r="F21" s="587">
        <f t="shared" ref="F21:F22" si="14">E21-D21</f>
        <v>2.1697163778686246E-2</v>
      </c>
      <c r="G21" s="587">
        <f t="shared" ref="G21:J21" si="15">G19*G20</f>
        <v>19.407425</v>
      </c>
      <c r="H21" s="587">
        <f>H19*H20</f>
        <v>19.587641084069155</v>
      </c>
      <c r="I21" s="587">
        <f t="shared" ref="I21:I22" si="16">H21-G21</f>
        <v>0.1802160840691549</v>
      </c>
      <c r="J21" s="587">
        <f t="shared" si="15"/>
        <v>16.8017</v>
      </c>
      <c r="K21" s="587">
        <f>K19*K20</f>
        <v>16.955815290732453</v>
      </c>
      <c r="L21" s="587">
        <f t="shared" ref="L21:L22" si="17">K21-J21</f>
        <v>0.15411529073245234</v>
      </c>
      <c r="M21" s="587">
        <f t="shared" ref="M21:Q21" si="18">M19*M20</f>
        <v>14.324989543074757</v>
      </c>
      <c r="N21" s="587">
        <f t="shared" si="18"/>
        <v>11.68907059740607</v>
      </c>
      <c r="O21" s="587">
        <f t="shared" si="18"/>
        <v>8.9617782574383789</v>
      </c>
      <c r="P21" s="587">
        <f t="shared" si="18"/>
        <v>6.2347870684416868</v>
      </c>
      <c r="Q21" s="587">
        <f t="shared" si="18"/>
        <v>3.507333457732468</v>
      </c>
      <c r="R21" s="280"/>
      <c r="S21" s="398"/>
      <c r="T21" s="398"/>
      <c r="U21" s="398"/>
    </row>
    <row r="22" spans="1:21" ht="16">
      <c r="B22" s="279">
        <v>12</v>
      </c>
      <c r="C22" s="922" t="s">
        <v>254</v>
      </c>
      <c r="D22" s="587">
        <v>1.46</v>
      </c>
      <c r="E22" s="587">
        <f>Refinancing!D13/10^7</f>
        <v>1.3219395800000002</v>
      </c>
      <c r="F22" s="587">
        <f t="shared" si="14"/>
        <v>-0.13806041999999974</v>
      </c>
      <c r="G22" s="587"/>
      <c r="H22" s="587">
        <f>Refinancing!E13/10^7</f>
        <v>0.15675269999999999</v>
      </c>
      <c r="I22" s="587">
        <f t="shared" si="16"/>
        <v>0.15675269999999999</v>
      </c>
      <c r="J22" s="588"/>
      <c r="K22" s="588"/>
      <c r="L22" s="587">
        <f t="shared" si="17"/>
        <v>0</v>
      </c>
      <c r="M22" s="588"/>
      <c r="N22" s="588"/>
      <c r="O22" s="588"/>
      <c r="P22" s="588"/>
      <c r="Q22" s="588"/>
      <c r="R22" s="280"/>
      <c r="S22" s="398"/>
      <c r="T22" s="398"/>
      <c r="U22" s="398"/>
    </row>
    <row r="23" spans="1:21" s="9" customFormat="1" ht="16">
      <c r="B23" s="399">
        <v>13</v>
      </c>
      <c r="C23" s="923" t="s">
        <v>351</v>
      </c>
      <c r="D23" s="589">
        <f>D21+D22</f>
        <v>24.9286335</v>
      </c>
      <c r="E23" s="589">
        <f t="shared" ref="E23:Q23" si="19">E21+E22</f>
        <v>24.812270243778684</v>
      </c>
      <c r="F23" s="589">
        <f t="shared" si="19"/>
        <v>-0.11636325622131349</v>
      </c>
      <c r="G23" s="589">
        <f t="shared" si="19"/>
        <v>19.407425</v>
      </c>
      <c r="H23" s="589">
        <f t="shared" si="19"/>
        <v>19.744393784069153</v>
      </c>
      <c r="I23" s="589">
        <f t="shared" ref="I23" si="20">I21+I22</f>
        <v>0.33696878406915487</v>
      </c>
      <c r="J23" s="589">
        <f t="shared" si="19"/>
        <v>16.8017</v>
      </c>
      <c r="K23" s="589">
        <f t="shared" si="19"/>
        <v>16.955815290732453</v>
      </c>
      <c r="L23" s="589">
        <f t="shared" si="19"/>
        <v>0.15411529073245234</v>
      </c>
      <c r="M23" s="589">
        <f t="shared" si="19"/>
        <v>14.324989543074757</v>
      </c>
      <c r="N23" s="589">
        <f t="shared" si="19"/>
        <v>11.68907059740607</v>
      </c>
      <c r="O23" s="589">
        <f t="shared" si="19"/>
        <v>8.9617782574383789</v>
      </c>
      <c r="P23" s="589">
        <f t="shared" si="19"/>
        <v>6.2347870684416868</v>
      </c>
      <c r="Q23" s="589">
        <f t="shared" si="19"/>
        <v>3.507333457732468</v>
      </c>
      <c r="R23" s="290"/>
    </row>
    <row r="24" spans="1:21" s="9" customFormat="1">
      <c r="B24" s="378"/>
      <c r="C24" s="920"/>
      <c r="D24" s="13"/>
      <c r="E24" s="696"/>
      <c r="F24" s="13"/>
      <c r="G24" s="401"/>
      <c r="H24" s="696"/>
      <c r="I24" s="293"/>
      <c r="J24" s="293"/>
      <c r="K24" s="696"/>
      <c r="L24" s="293"/>
      <c r="M24" s="696"/>
      <c r="N24" s="696"/>
      <c r="O24" s="696"/>
      <c r="P24" s="696"/>
      <c r="Q24" s="696"/>
      <c r="R24" s="293"/>
    </row>
    <row r="25" spans="1:21" s="9" customFormat="1">
      <c r="B25" s="378"/>
      <c r="C25" s="920"/>
      <c r="D25" s="13"/>
      <c r="E25" s="13"/>
      <c r="F25" s="13"/>
      <c r="G25" s="401"/>
      <c r="H25" s="293"/>
      <c r="I25" s="293"/>
      <c r="J25" s="293"/>
      <c r="K25" s="293"/>
      <c r="L25" s="293"/>
      <c r="M25" s="293"/>
      <c r="N25" s="293"/>
      <c r="O25" s="293"/>
      <c r="P25" s="293"/>
      <c r="Q25" s="293"/>
      <c r="R25" s="293"/>
    </row>
    <row r="26" spans="1:21" s="9" customFormat="1" ht="16">
      <c r="B26" s="273"/>
      <c r="C26" s="921" t="s">
        <v>353</v>
      </c>
      <c r="D26" s="397"/>
      <c r="E26" s="397"/>
      <c r="F26" s="397"/>
      <c r="G26" s="397"/>
      <c r="H26" s="275"/>
      <c r="I26" s="275"/>
      <c r="J26" s="275"/>
      <c r="K26" s="275"/>
      <c r="L26" s="275"/>
      <c r="M26" s="275"/>
      <c r="N26" s="275"/>
      <c r="O26" s="275"/>
      <c r="P26" s="275"/>
      <c r="Q26" s="275"/>
      <c r="R26" s="275"/>
    </row>
    <row r="27" spans="1:21">
      <c r="B27" s="273"/>
      <c r="R27" s="278" t="s">
        <v>33</v>
      </c>
    </row>
    <row r="28" spans="1:21">
      <c r="B28" s="983" t="s">
        <v>240</v>
      </c>
      <c r="C28" s="983" t="s">
        <v>43</v>
      </c>
      <c r="D28" s="987" t="s">
        <v>213</v>
      </c>
      <c r="E28" s="988"/>
      <c r="F28" s="989"/>
      <c r="G28" s="987" t="s">
        <v>214</v>
      </c>
      <c r="H28" s="988"/>
      <c r="I28" s="989"/>
      <c r="J28" s="987" t="s">
        <v>215</v>
      </c>
      <c r="K28" s="988"/>
      <c r="L28" s="989"/>
      <c r="M28" s="987" t="s">
        <v>174</v>
      </c>
      <c r="N28" s="988"/>
      <c r="O28" s="988"/>
      <c r="P28" s="988"/>
      <c r="Q28" s="989"/>
      <c r="R28" s="1071" t="s">
        <v>37</v>
      </c>
    </row>
    <row r="29" spans="1:21" ht="48">
      <c r="B29" s="983"/>
      <c r="C29" s="983"/>
      <c r="D29" s="785" t="s">
        <v>313</v>
      </c>
      <c r="E29" s="785" t="s">
        <v>311</v>
      </c>
      <c r="F29" s="785" t="s">
        <v>312</v>
      </c>
      <c r="G29" s="785" t="s">
        <v>313</v>
      </c>
      <c r="H29" s="785" t="s">
        <v>311</v>
      </c>
      <c r="I29" s="785" t="s">
        <v>312</v>
      </c>
      <c r="J29" s="785" t="s">
        <v>313</v>
      </c>
      <c r="K29" s="785" t="s">
        <v>59</v>
      </c>
      <c r="L29" s="785" t="s">
        <v>316</v>
      </c>
      <c r="M29" s="785" t="s">
        <v>540</v>
      </c>
      <c r="N29" s="785" t="s">
        <v>541</v>
      </c>
      <c r="O29" s="785" t="s">
        <v>542</v>
      </c>
      <c r="P29" s="785" t="s">
        <v>543</v>
      </c>
      <c r="Q29" s="785" t="s">
        <v>544</v>
      </c>
      <c r="R29" s="1152"/>
    </row>
    <row r="30" spans="1:21" ht="16">
      <c r="B30" s="786"/>
      <c r="C30" s="892"/>
      <c r="D30" s="785" t="s">
        <v>56</v>
      </c>
      <c r="E30" s="785" t="s">
        <v>57</v>
      </c>
      <c r="F30" s="785" t="s">
        <v>317</v>
      </c>
      <c r="G30" s="785" t="s">
        <v>318</v>
      </c>
      <c r="H30" s="785" t="s">
        <v>319</v>
      </c>
      <c r="I30" s="785" t="s">
        <v>545</v>
      </c>
      <c r="J30" s="785" t="s">
        <v>546</v>
      </c>
      <c r="K30" s="785" t="s">
        <v>547</v>
      </c>
      <c r="L30" s="785" t="s">
        <v>567</v>
      </c>
      <c r="M30" s="785" t="s">
        <v>86</v>
      </c>
      <c r="N30" s="785" t="s">
        <v>86</v>
      </c>
      <c r="O30" s="785" t="s">
        <v>86</v>
      </c>
      <c r="P30" s="785" t="s">
        <v>86</v>
      </c>
      <c r="Q30" s="785" t="s">
        <v>86</v>
      </c>
      <c r="R30" s="787"/>
    </row>
    <row r="31" spans="1:21" ht="16">
      <c r="B31" s="399">
        <v>1</v>
      </c>
      <c r="C31" s="923" t="s">
        <v>846</v>
      </c>
      <c r="D31" s="400"/>
      <c r="E31" s="400"/>
      <c r="F31" s="400"/>
      <c r="G31" s="400"/>
      <c r="H31" s="280"/>
      <c r="I31" s="280"/>
      <c r="J31" s="280"/>
      <c r="K31" s="280"/>
      <c r="L31" s="280"/>
      <c r="M31" s="280"/>
      <c r="N31" s="280"/>
      <c r="O31" s="280"/>
      <c r="P31" s="280"/>
      <c r="Q31" s="280"/>
      <c r="R31" s="280"/>
    </row>
    <row r="32" spans="1:21" ht="16">
      <c r="B32" s="279">
        <v>1.1000000000000001</v>
      </c>
      <c r="C32" s="922" t="s">
        <v>175</v>
      </c>
      <c r="D32" s="395"/>
      <c r="E32" s="765">
        <v>126.672</v>
      </c>
      <c r="F32" s="395"/>
      <c r="G32" s="395"/>
      <c r="H32" s="280"/>
      <c r="I32" s="280"/>
      <c r="J32" s="280"/>
      <c r="K32" s="280"/>
      <c r="L32" s="280"/>
      <c r="M32" s="280"/>
      <c r="N32" s="280"/>
      <c r="O32" s="280"/>
      <c r="P32" s="280"/>
      <c r="Q32" s="280"/>
      <c r="R32" s="280"/>
    </row>
    <row r="33" spans="2:18" ht="32">
      <c r="B33" s="279">
        <f t="shared" ref="B33:B36" si="21">B32+0.1</f>
        <v>1.2000000000000002</v>
      </c>
      <c r="C33" s="922" t="s">
        <v>250</v>
      </c>
      <c r="D33" s="395"/>
      <c r="E33" s="765">
        <v>0</v>
      </c>
      <c r="F33" s="395"/>
      <c r="G33" s="395"/>
      <c r="H33" s="280"/>
      <c r="I33" s="280"/>
      <c r="J33" s="280"/>
      <c r="K33" s="280"/>
      <c r="L33" s="280"/>
      <c r="M33" s="280"/>
      <c r="N33" s="280"/>
      <c r="O33" s="280"/>
      <c r="P33" s="280"/>
      <c r="Q33" s="280"/>
      <c r="R33" s="280"/>
    </row>
    <row r="34" spans="2:18" ht="16">
      <c r="B34" s="279">
        <f t="shared" si="21"/>
        <v>1.3000000000000003</v>
      </c>
      <c r="C34" s="922" t="s">
        <v>239</v>
      </c>
      <c r="D34" s="395"/>
      <c r="E34" s="765">
        <v>0</v>
      </c>
      <c r="F34" s="395"/>
      <c r="G34" s="395"/>
      <c r="H34" s="280"/>
      <c r="I34" s="280"/>
      <c r="J34" s="280"/>
      <c r="K34" s="280"/>
      <c r="L34" s="280"/>
      <c r="M34" s="280"/>
      <c r="N34" s="280"/>
      <c r="O34" s="280"/>
      <c r="P34" s="280"/>
      <c r="Q34" s="280"/>
      <c r="R34" s="280"/>
    </row>
    <row r="35" spans="2:18" ht="16">
      <c r="B35" s="279">
        <f t="shared" si="21"/>
        <v>1.4000000000000004</v>
      </c>
      <c r="C35" s="922" t="s">
        <v>176</v>
      </c>
      <c r="D35" s="395"/>
      <c r="E35" s="765">
        <f>E32</f>
        <v>126.672</v>
      </c>
      <c r="F35" s="395"/>
      <c r="G35" s="395"/>
      <c r="H35" s="280"/>
      <c r="I35" s="280"/>
      <c r="J35" s="280"/>
      <c r="K35" s="280"/>
      <c r="L35" s="280"/>
      <c r="M35" s="280"/>
      <c r="N35" s="280"/>
      <c r="O35" s="280"/>
      <c r="P35" s="280"/>
      <c r="Q35" s="280"/>
      <c r="R35" s="280"/>
    </row>
    <row r="36" spans="2:18" ht="16">
      <c r="B36" s="279">
        <f t="shared" si="21"/>
        <v>1.5000000000000004</v>
      </c>
      <c r="C36" s="922" t="s">
        <v>177</v>
      </c>
      <c r="D36" s="395"/>
      <c r="E36" s="765"/>
      <c r="F36" s="395"/>
      <c r="G36" s="395"/>
      <c r="H36" s="280"/>
      <c r="I36" s="280"/>
      <c r="J36" s="280"/>
      <c r="K36" s="280"/>
      <c r="L36" s="280"/>
      <c r="M36" s="280"/>
      <c r="N36" s="280"/>
      <c r="O36" s="280"/>
      <c r="P36" s="280"/>
      <c r="Q36" s="280"/>
      <c r="R36" s="280"/>
    </row>
    <row r="37" spans="2:18" ht="16">
      <c r="B37" s="279">
        <f>B36+0.1</f>
        <v>1.6000000000000005</v>
      </c>
      <c r="C37" s="922" t="s">
        <v>354</v>
      </c>
      <c r="D37" s="395"/>
      <c r="E37" s="765">
        <f>(E36+E32)/2</f>
        <v>63.335999999999999</v>
      </c>
      <c r="F37" s="395"/>
      <c r="G37" s="395"/>
      <c r="H37" s="280"/>
      <c r="I37" s="280"/>
      <c r="J37" s="280"/>
      <c r="K37" s="280"/>
      <c r="L37" s="280"/>
      <c r="M37" s="280"/>
      <c r="N37" s="280"/>
      <c r="O37" s="280"/>
      <c r="P37" s="280"/>
      <c r="Q37" s="280"/>
      <c r="R37" s="280"/>
    </row>
    <row r="38" spans="2:18" ht="16">
      <c r="B38" s="279">
        <f>B37+0.1</f>
        <v>1.7000000000000006</v>
      </c>
      <c r="C38" s="922" t="s">
        <v>178</v>
      </c>
      <c r="D38" s="395"/>
      <c r="E38" s="766">
        <f>E39/E32/150*365</f>
        <v>0.10609738658372278</v>
      </c>
      <c r="F38" s="395"/>
      <c r="G38" s="395"/>
      <c r="H38" s="280"/>
      <c r="I38" s="280"/>
      <c r="J38" s="280"/>
      <c r="K38" s="280"/>
      <c r="L38" s="280"/>
      <c r="M38" s="280"/>
      <c r="N38" s="280"/>
      <c r="O38" s="280"/>
      <c r="P38" s="280"/>
      <c r="Q38" s="280"/>
      <c r="R38" s="280"/>
    </row>
    <row r="39" spans="2:18" ht="16">
      <c r="B39" s="279">
        <f>B38+0.1</f>
        <v>1.8000000000000007</v>
      </c>
      <c r="C39" s="922" t="s">
        <v>72</v>
      </c>
      <c r="D39" s="395"/>
      <c r="E39" s="765">
        <v>5.5231101999999996</v>
      </c>
      <c r="F39" s="395"/>
      <c r="G39" s="395"/>
      <c r="H39" s="280"/>
      <c r="I39" s="280"/>
      <c r="J39" s="280"/>
      <c r="K39" s="280"/>
      <c r="L39" s="280"/>
      <c r="M39" s="280"/>
      <c r="N39" s="280"/>
      <c r="O39" s="280"/>
      <c r="P39" s="280"/>
      <c r="Q39" s="280"/>
      <c r="R39" s="280"/>
    </row>
    <row r="40" spans="2:18">
      <c r="B40" s="279"/>
      <c r="C40" s="922"/>
      <c r="D40" s="395"/>
      <c r="E40" s="765"/>
      <c r="F40" s="395"/>
      <c r="G40" s="395"/>
      <c r="H40" s="280"/>
      <c r="I40" s="280"/>
      <c r="J40" s="280"/>
      <c r="K40" s="280"/>
      <c r="L40" s="280"/>
      <c r="M40" s="280"/>
      <c r="N40" s="280"/>
      <c r="O40" s="280"/>
      <c r="P40" s="280"/>
      <c r="Q40" s="280"/>
      <c r="R40" s="280"/>
    </row>
    <row r="41" spans="2:18" ht="16">
      <c r="B41" s="399">
        <v>2</v>
      </c>
      <c r="C41" s="923" t="s">
        <v>847</v>
      </c>
      <c r="D41" s="400"/>
      <c r="E41" s="765"/>
      <c r="F41" s="400"/>
      <c r="G41" s="400"/>
      <c r="H41" s="280"/>
      <c r="I41" s="280"/>
      <c r="J41" s="280"/>
      <c r="K41" s="280"/>
      <c r="L41" s="280"/>
      <c r="M41" s="280"/>
      <c r="N41" s="280"/>
      <c r="O41" s="280"/>
      <c r="P41" s="280"/>
      <c r="Q41" s="280"/>
      <c r="R41" s="280"/>
    </row>
    <row r="42" spans="2:18" ht="16">
      <c r="B42" s="279">
        <f t="shared" ref="B42:B45" si="22">B41+0.1</f>
        <v>2.1</v>
      </c>
      <c r="C42" s="922" t="s">
        <v>175</v>
      </c>
      <c r="D42" s="395"/>
      <c r="E42" s="765">
        <v>75.400000000000006</v>
      </c>
      <c r="F42" s="395"/>
      <c r="G42" s="395"/>
      <c r="H42" s="280"/>
      <c r="I42" s="280"/>
      <c r="J42" s="280"/>
      <c r="K42" s="280"/>
      <c r="L42" s="280"/>
      <c r="M42" s="280"/>
      <c r="N42" s="280"/>
      <c r="O42" s="280"/>
      <c r="P42" s="280"/>
      <c r="Q42" s="280"/>
      <c r="R42" s="280"/>
    </row>
    <row r="43" spans="2:18" ht="32">
      <c r="B43" s="279">
        <f t="shared" si="22"/>
        <v>2.2000000000000002</v>
      </c>
      <c r="C43" s="922" t="s">
        <v>250</v>
      </c>
      <c r="D43" s="395"/>
      <c r="E43" s="765"/>
      <c r="F43" s="395"/>
      <c r="G43" s="395"/>
      <c r="H43" s="280"/>
      <c r="I43" s="280"/>
      <c r="J43" s="280"/>
      <c r="K43" s="280"/>
      <c r="L43" s="280"/>
      <c r="M43" s="280"/>
      <c r="N43" s="280"/>
      <c r="O43" s="280"/>
      <c r="P43" s="280"/>
      <c r="Q43" s="280"/>
      <c r="R43" s="280"/>
    </row>
    <row r="44" spans="2:18" ht="16">
      <c r="B44" s="279">
        <f t="shared" si="22"/>
        <v>2.3000000000000003</v>
      </c>
      <c r="C44" s="922" t="s">
        <v>176</v>
      </c>
      <c r="D44" s="395"/>
      <c r="E44" s="765">
        <f>E42</f>
        <v>75.400000000000006</v>
      </c>
      <c r="F44" s="395"/>
      <c r="G44" s="395"/>
      <c r="H44" s="280"/>
      <c r="I44" s="280"/>
      <c r="J44" s="280"/>
      <c r="K44" s="280"/>
      <c r="L44" s="280"/>
      <c r="M44" s="280"/>
      <c r="N44" s="280"/>
      <c r="O44" s="280"/>
      <c r="P44" s="280"/>
      <c r="Q44" s="280"/>
      <c r="R44" s="280"/>
    </row>
    <row r="45" spans="2:18" ht="16">
      <c r="B45" s="279">
        <f t="shared" si="22"/>
        <v>2.4000000000000004</v>
      </c>
      <c r="C45" s="922" t="s">
        <v>177</v>
      </c>
      <c r="D45" s="395"/>
      <c r="E45" s="765"/>
      <c r="F45" s="395"/>
      <c r="G45" s="395"/>
      <c r="H45" s="280"/>
      <c r="I45" s="280"/>
      <c r="J45" s="280"/>
      <c r="K45" s="280"/>
      <c r="L45" s="280"/>
      <c r="M45" s="280"/>
      <c r="N45" s="280"/>
      <c r="O45" s="280"/>
      <c r="P45" s="280"/>
      <c r="Q45" s="280"/>
      <c r="R45" s="280"/>
    </row>
    <row r="46" spans="2:18" ht="16">
      <c r="B46" s="279">
        <f>B45+0.1</f>
        <v>2.5000000000000004</v>
      </c>
      <c r="C46" s="922" t="s">
        <v>354</v>
      </c>
      <c r="D46" s="395"/>
      <c r="E46" s="765">
        <f>(E45+E42)/2</f>
        <v>37.700000000000003</v>
      </c>
      <c r="F46" s="395"/>
      <c r="G46" s="395"/>
      <c r="H46" s="280"/>
      <c r="I46" s="280"/>
      <c r="J46" s="280"/>
      <c r="K46" s="280"/>
      <c r="L46" s="280"/>
      <c r="M46" s="280"/>
      <c r="N46" s="280"/>
      <c r="O46" s="280"/>
      <c r="P46" s="280"/>
      <c r="Q46" s="280"/>
      <c r="R46" s="280"/>
    </row>
    <row r="47" spans="2:18" ht="16">
      <c r="B47" s="279">
        <f>B46+0.1</f>
        <v>2.6000000000000005</v>
      </c>
      <c r="C47" s="922" t="s">
        <v>178</v>
      </c>
      <c r="D47" s="395"/>
      <c r="E47" s="766">
        <f>E48/E42/146*365</f>
        <v>0.10594320954907162</v>
      </c>
      <c r="F47" s="395"/>
      <c r="G47" s="395"/>
      <c r="H47" s="280"/>
      <c r="I47" s="280"/>
      <c r="J47" s="280"/>
      <c r="K47" s="280"/>
      <c r="L47" s="280"/>
      <c r="M47" s="280"/>
      <c r="N47" s="280"/>
      <c r="O47" s="280"/>
      <c r="P47" s="280"/>
      <c r="Q47" s="280"/>
      <c r="R47" s="280"/>
    </row>
    <row r="48" spans="2:18" ht="16">
      <c r="B48" s="279">
        <f>B47+0.1</f>
        <v>2.7000000000000006</v>
      </c>
      <c r="C48" s="922" t="s">
        <v>72</v>
      </c>
      <c r="D48" s="395"/>
      <c r="E48" s="765">
        <v>3.1952471999999998</v>
      </c>
      <c r="F48" s="395"/>
      <c r="G48" s="395"/>
      <c r="H48" s="280"/>
      <c r="I48" s="280"/>
      <c r="J48" s="280"/>
      <c r="K48" s="280"/>
      <c r="L48" s="280"/>
      <c r="M48" s="280"/>
      <c r="N48" s="280"/>
      <c r="O48" s="280"/>
      <c r="P48" s="280"/>
      <c r="Q48" s="280"/>
      <c r="R48" s="280"/>
    </row>
    <row r="49" spans="2:18">
      <c r="B49" s="279"/>
      <c r="C49" s="922"/>
      <c r="D49" s="395"/>
      <c r="E49" s="765"/>
      <c r="F49" s="395"/>
      <c r="G49" s="395"/>
      <c r="H49" s="280"/>
      <c r="I49" s="280"/>
      <c r="J49" s="280"/>
      <c r="K49" s="280"/>
      <c r="L49" s="280"/>
      <c r="M49" s="280"/>
      <c r="N49" s="280"/>
      <c r="O49" s="280"/>
      <c r="P49" s="280"/>
      <c r="Q49" s="280"/>
      <c r="R49" s="280"/>
    </row>
    <row r="50" spans="2:18" ht="16">
      <c r="B50" s="399">
        <v>3</v>
      </c>
      <c r="C50" s="923" t="s">
        <v>848</v>
      </c>
      <c r="D50" s="400"/>
      <c r="E50" s="765"/>
      <c r="F50" s="400"/>
      <c r="G50" s="400"/>
      <c r="H50" s="280"/>
      <c r="I50" s="280"/>
      <c r="J50" s="280"/>
      <c r="K50" s="280"/>
      <c r="L50" s="280"/>
      <c r="M50" s="280"/>
      <c r="N50" s="280"/>
      <c r="O50" s="280"/>
      <c r="P50" s="280"/>
      <c r="Q50" s="280"/>
      <c r="R50" s="280"/>
    </row>
    <row r="51" spans="2:18" ht="16">
      <c r="B51" s="279">
        <f t="shared" ref="B51:B54" si="23">B50+0.1</f>
        <v>3.1</v>
      </c>
      <c r="C51" s="922" t="s">
        <v>175</v>
      </c>
      <c r="D51" s="400"/>
      <c r="E51" s="765">
        <v>44.950144399999999</v>
      </c>
      <c r="F51" s="400"/>
      <c r="G51" s="400"/>
      <c r="H51" s="280"/>
      <c r="I51" s="280"/>
      <c r="J51" s="280"/>
      <c r="K51" s="280"/>
      <c r="L51" s="280"/>
      <c r="M51" s="280"/>
      <c r="N51" s="280"/>
      <c r="O51" s="280"/>
      <c r="P51" s="280"/>
      <c r="Q51" s="280"/>
      <c r="R51" s="280"/>
    </row>
    <row r="52" spans="2:18" ht="32">
      <c r="B52" s="279">
        <f t="shared" si="23"/>
        <v>3.2</v>
      </c>
      <c r="C52" s="922" t="s">
        <v>250</v>
      </c>
      <c r="D52" s="400"/>
      <c r="E52" s="765"/>
      <c r="F52" s="400"/>
      <c r="G52" s="400"/>
      <c r="H52" s="280"/>
      <c r="I52" s="280"/>
      <c r="J52" s="280"/>
      <c r="K52" s="280"/>
      <c r="L52" s="280"/>
      <c r="M52" s="280"/>
      <c r="N52" s="280"/>
      <c r="O52" s="280"/>
      <c r="P52" s="280"/>
      <c r="Q52" s="280"/>
      <c r="R52" s="280"/>
    </row>
    <row r="53" spans="2:18" ht="16">
      <c r="B53" s="279">
        <f t="shared" si="23"/>
        <v>3.3000000000000003</v>
      </c>
      <c r="C53" s="922" t="s">
        <v>176</v>
      </c>
      <c r="D53" s="400"/>
      <c r="E53" s="765">
        <f>E51</f>
        <v>44.950144399999999</v>
      </c>
      <c r="F53" s="400"/>
      <c r="G53" s="400"/>
      <c r="H53" s="280"/>
      <c r="I53" s="280"/>
      <c r="J53" s="280"/>
      <c r="K53" s="280"/>
      <c r="L53" s="280"/>
      <c r="M53" s="280"/>
      <c r="N53" s="280"/>
      <c r="O53" s="280"/>
      <c r="P53" s="280"/>
      <c r="Q53" s="280"/>
      <c r="R53" s="280"/>
    </row>
    <row r="54" spans="2:18" ht="16">
      <c r="B54" s="279">
        <f t="shared" si="23"/>
        <v>3.4000000000000004</v>
      </c>
      <c r="C54" s="922" t="s">
        <v>177</v>
      </c>
      <c r="D54" s="400"/>
      <c r="E54" s="765"/>
      <c r="F54" s="400"/>
      <c r="G54" s="400"/>
      <c r="H54" s="280"/>
      <c r="I54" s="280"/>
      <c r="J54" s="280"/>
      <c r="K54" s="280"/>
      <c r="L54" s="280"/>
      <c r="M54" s="280"/>
      <c r="N54" s="280"/>
      <c r="O54" s="280"/>
      <c r="P54" s="280"/>
      <c r="Q54" s="280"/>
      <c r="R54" s="280"/>
    </row>
    <row r="55" spans="2:18" ht="16">
      <c r="B55" s="279">
        <f>B54+0.1</f>
        <v>3.5000000000000004</v>
      </c>
      <c r="C55" s="922" t="s">
        <v>354</v>
      </c>
      <c r="D55" s="400"/>
      <c r="E55" s="765">
        <f>(E54+E51)/2</f>
        <v>22.4750722</v>
      </c>
      <c r="F55" s="400"/>
      <c r="G55" s="400"/>
      <c r="H55" s="280"/>
      <c r="I55" s="280"/>
      <c r="J55" s="280"/>
      <c r="K55" s="280"/>
      <c r="L55" s="280"/>
      <c r="M55" s="280"/>
      <c r="N55" s="280"/>
      <c r="O55" s="280"/>
      <c r="P55" s="280"/>
      <c r="Q55" s="280"/>
      <c r="R55" s="280"/>
    </row>
    <row r="56" spans="2:18" ht="16">
      <c r="B56" s="279">
        <f>B55+0.1</f>
        <v>3.6000000000000005</v>
      </c>
      <c r="C56" s="922" t="s">
        <v>178</v>
      </c>
      <c r="D56" s="400"/>
      <c r="E56" s="766">
        <f>E57/E51/150*365</f>
        <v>0.10637398071035638</v>
      </c>
      <c r="F56" s="400"/>
      <c r="G56" s="400"/>
      <c r="H56" s="280"/>
      <c r="I56" s="280"/>
      <c r="J56" s="280"/>
      <c r="K56" s="280"/>
      <c r="L56" s="280"/>
      <c r="M56" s="280"/>
      <c r="N56" s="280"/>
      <c r="O56" s="280"/>
      <c r="P56" s="280"/>
      <c r="Q56" s="280"/>
      <c r="R56" s="280"/>
    </row>
    <row r="57" spans="2:18" ht="16">
      <c r="B57" s="279">
        <f>B56+0.1</f>
        <v>3.7000000000000006</v>
      </c>
      <c r="C57" s="922" t="s">
        <v>72</v>
      </c>
      <c r="D57" s="400"/>
      <c r="E57" s="765">
        <v>1.9650106000000001</v>
      </c>
      <c r="F57" s="400"/>
      <c r="G57" s="400"/>
      <c r="H57" s="280"/>
      <c r="I57" s="280"/>
      <c r="J57" s="280"/>
      <c r="K57" s="280"/>
      <c r="L57" s="280"/>
      <c r="M57" s="280"/>
      <c r="N57" s="280"/>
      <c r="O57" s="280"/>
      <c r="P57" s="280"/>
      <c r="Q57" s="280"/>
      <c r="R57" s="280"/>
    </row>
    <row r="58" spans="2:18">
      <c r="B58" s="399"/>
      <c r="C58" s="923"/>
      <c r="D58" s="400"/>
      <c r="E58" s="765"/>
      <c r="F58" s="400"/>
      <c r="G58" s="400"/>
      <c r="H58" s="280"/>
      <c r="I58" s="280"/>
      <c r="J58" s="280"/>
      <c r="K58" s="280"/>
      <c r="L58" s="280"/>
      <c r="M58" s="280"/>
      <c r="N58" s="280"/>
      <c r="O58" s="280"/>
      <c r="P58" s="280"/>
      <c r="Q58" s="280"/>
      <c r="R58" s="280"/>
    </row>
    <row r="59" spans="2:18" ht="16">
      <c r="B59" s="399">
        <v>4</v>
      </c>
      <c r="C59" s="923" t="s">
        <v>23</v>
      </c>
      <c r="D59" s="400"/>
      <c r="E59" s="761"/>
      <c r="F59" s="400"/>
      <c r="G59" s="395"/>
      <c r="H59" s="280"/>
      <c r="I59" s="280"/>
      <c r="J59" s="280"/>
      <c r="K59" s="280"/>
      <c r="L59" s="280"/>
      <c r="M59" s="280"/>
      <c r="N59" s="280"/>
      <c r="O59" s="280"/>
      <c r="P59" s="280"/>
      <c r="Q59" s="280"/>
      <c r="R59" s="280"/>
    </row>
    <row r="60" spans="2:18" ht="16">
      <c r="B60" s="279">
        <f t="shared" ref="B60:B63" si="24">B59+0.1</f>
        <v>4.0999999999999996</v>
      </c>
      <c r="C60" s="922" t="s">
        <v>175</v>
      </c>
      <c r="D60" s="395"/>
      <c r="E60" s="765">
        <f>E32+E42+E51</f>
        <v>247.0221444</v>
      </c>
      <c r="F60" s="395"/>
      <c r="G60" s="395"/>
      <c r="H60" s="280"/>
      <c r="I60" s="280"/>
      <c r="J60" s="280"/>
      <c r="K60" s="280"/>
      <c r="L60" s="280"/>
      <c r="M60" s="280"/>
      <c r="N60" s="280"/>
      <c r="O60" s="280"/>
      <c r="P60" s="280"/>
      <c r="Q60" s="280"/>
      <c r="R60" s="280"/>
    </row>
    <row r="61" spans="2:18" ht="32">
      <c r="B61" s="279">
        <f t="shared" si="24"/>
        <v>4.1999999999999993</v>
      </c>
      <c r="C61" s="922" t="s">
        <v>250</v>
      </c>
      <c r="D61" s="395"/>
      <c r="E61" s="553">
        <v>0</v>
      </c>
      <c r="F61" s="395"/>
      <c r="G61" s="395"/>
      <c r="H61" s="280"/>
      <c r="I61" s="280"/>
      <c r="J61" s="280"/>
      <c r="K61" s="280"/>
      <c r="L61" s="280"/>
      <c r="M61" s="280"/>
      <c r="N61" s="280"/>
      <c r="O61" s="280"/>
      <c r="P61" s="280"/>
      <c r="Q61" s="280"/>
      <c r="R61" s="280"/>
    </row>
    <row r="62" spans="2:18" ht="16">
      <c r="B62" s="279">
        <f t="shared" si="24"/>
        <v>4.2999999999999989</v>
      </c>
      <c r="C62" s="922" t="s">
        <v>176</v>
      </c>
      <c r="D62" s="395"/>
      <c r="E62" s="709">
        <f>E60-E61</f>
        <v>247.0221444</v>
      </c>
      <c r="F62" s="395"/>
      <c r="G62" s="395"/>
      <c r="H62" s="280"/>
      <c r="I62" s="280"/>
      <c r="J62" s="280"/>
      <c r="K62" s="280"/>
      <c r="L62" s="280"/>
      <c r="M62" s="280"/>
      <c r="N62" s="280"/>
      <c r="O62" s="280"/>
      <c r="P62" s="280"/>
      <c r="Q62" s="280"/>
      <c r="R62" s="280"/>
    </row>
    <row r="63" spans="2:18" ht="16">
      <c r="B63" s="279">
        <f t="shared" si="24"/>
        <v>4.3999999999999986</v>
      </c>
      <c r="C63" s="922" t="s">
        <v>177</v>
      </c>
      <c r="D63" s="395"/>
      <c r="E63" s="707">
        <f>E60-E62</f>
        <v>0</v>
      </c>
      <c r="F63" s="395"/>
      <c r="G63" s="395"/>
      <c r="H63" s="280"/>
      <c r="I63" s="280"/>
      <c r="J63" s="280"/>
      <c r="K63" s="280"/>
      <c r="L63" s="280"/>
      <c r="M63" s="280"/>
      <c r="N63" s="280"/>
      <c r="O63" s="280"/>
      <c r="P63" s="280"/>
      <c r="Q63" s="280"/>
      <c r="R63" s="280"/>
    </row>
    <row r="64" spans="2:18" ht="16">
      <c r="B64" s="279">
        <f>B63+0.1</f>
        <v>4.4999999999999982</v>
      </c>
      <c r="C64" s="922" t="s">
        <v>354</v>
      </c>
      <c r="D64" s="395"/>
      <c r="E64" s="765">
        <f>(E63+E60)/2</f>
        <v>123.5110722</v>
      </c>
      <c r="F64" s="395"/>
      <c r="G64" s="395"/>
      <c r="H64" s="280"/>
      <c r="I64" s="280"/>
      <c r="J64" s="280"/>
      <c r="K64" s="280"/>
      <c r="L64" s="280"/>
      <c r="M64" s="280"/>
      <c r="N64" s="280"/>
      <c r="O64" s="280"/>
      <c r="P64" s="280"/>
      <c r="Q64" s="280"/>
      <c r="R64" s="280"/>
    </row>
    <row r="65" spans="2:18" ht="16">
      <c r="B65" s="279">
        <f>B64+0.1</f>
        <v>4.5999999999999979</v>
      </c>
      <c r="C65" s="922" t="s">
        <v>178</v>
      </c>
      <c r="D65" s="395"/>
      <c r="E65" s="766">
        <f>E66/E60/149*365</f>
        <v>0.10594461739755345</v>
      </c>
      <c r="F65" s="395"/>
      <c r="G65" s="395"/>
      <c r="H65" s="280"/>
      <c r="I65" s="280"/>
      <c r="J65" s="280"/>
      <c r="K65" s="280"/>
      <c r="L65" s="280"/>
      <c r="M65" s="280"/>
      <c r="N65" s="280"/>
      <c r="O65" s="280"/>
      <c r="P65" s="280"/>
      <c r="Q65" s="280"/>
      <c r="R65" s="280"/>
    </row>
    <row r="66" spans="2:18" ht="16">
      <c r="B66" s="279">
        <f>B65+0.1</f>
        <v>4.6999999999999975</v>
      </c>
      <c r="C66" s="922" t="s">
        <v>72</v>
      </c>
      <c r="D66" s="395"/>
      <c r="E66" s="791">
        <f>E39+E48+E57</f>
        <v>10.683367999999998</v>
      </c>
      <c r="F66" s="395"/>
      <c r="G66" s="395"/>
      <c r="H66" s="280"/>
      <c r="I66" s="280"/>
      <c r="J66" s="280"/>
      <c r="K66" s="280"/>
      <c r="L66" s="280"/>
      <c r="M66" s="280"/>
      <c r="N66" s="280"/>
      <c r="O66" s="280"/>
      <c r="P66" s="280"/>
      <c r="Q66" s="280"/>
      <c r="R66" s="280"/>
    </row>
    <row r="67" spans="2:18">
      <c r="B67" s="279"/>
      <c r="C67" s="922"/>
      <c r="D67" s="395"/>
      <c r="E67" s="395"/>
      <c r="F67" s="395"/>
      <c r="G67" s="395"/>
      <c r="H67" s="280"/>
      <c r="I67" s="280"/>
      <c r="J67" s="280"/>
      <c r="K67" s="280"/>
      <c r="L67" s="280"/>
      <c r="M67" s="280"/>
      <c r="N67" s="280"/>
      <c r="O67" s="280"/>
      <c r="P67" s="280"/>
      <c r="Q67" s="280"/>
      <c r="R67" s="280"/>
    </row>
    <row r="68" spans="2:18" ht="16">
      <c r="B68" s="279">
        <v>5</v>
      </c>
      <c r="C68" s="923" t="s">
        <v>44</v>
      </c>
      <c r="D68" s="400"/>
      <c r="E68" s="708">
        <f>E66</f>
        <v>10.683367999999998</v>
      </c>
      <c r="F68" s="400"/>
      <c r="G68" s="400"/>
      <c r="H68" s="280"/>
      <c r="I68" s="280"/>
      <c r="J68" s="280"/>
      <c r="K68" s="290"/>
      <c r="L68" s="290"/>
      <c r="M68" s="290"/>
      <c r="N68" s="290"/>
      <c r="O68" s="290"/>
      <c r="P68" s="290"/>
      <c r="Q68" s="280"/>
      <c r="R68" s="280"/>
    </row>
    <row r="69" spans="2:18" ht="16">
      <c r="B69" s="279">
        <v>6</v>
      </c>
      <c r="C69" s="924" t="s">
        <v>38</v>
      </c>
      <c r="D69" s="22"/>
      <c r="E69" s="22"/>
      <c r="F69" s="22"/>
      <c r="G69" s="22"/>
      <c r="H69" s="280"/>
      <c r="I69" s="280"/>
      <c r="J69" s="280"/>
      <c r="K69" s="280"/>
      <c r="L69" s="280"/>
      <c r="M69" s="280"/>
      <c r="N69" s="280"/>
      <c r="O69" s="280"/>
      <c r="P69" s="280"/>
      <c r="Q69" s="280"/>
      <c r="R69" s="280"/>
    </row>
    <row r="70" spans="2:18" ht="16">
      <c r="B70" s="399">
        <v>7</v>
      </c>
      <c r="C70" s="368" t="s">
        <v>45</v>
      </c>
      <c r="D70" s="290"/>
      <c r="E70" s="607">
        <f>E68-E69</f>
        <v>10.683367999999998</v>
      </c>
      <c r="F70" s="290"/>
      <c r="G70" s="290"/>
      <c r="H70" s="280"/>
      <c r="I70" s="280"/>
      <c r="J70" s="280"/>
      <c r="K70" s="280"/>
      <c r="L70" s="280"/>
      <c r="M70" s="280"/>
      <c r="N70" s="280"/>
      <c r="O70" s="280"/>
      <c r="P70" s="280"/>
      <c r="Q70" s="280"/>
      <c r="R70" s="280"/>
    </row>
    <row r="71" spans="2:18">
      <c r="B71" s="279"/>
      <c r="C71" s="402"/>
      <c r="D71" s="402"/>
      <c r="E71" s="402"/>
      <c r="F71" s="402"/>
      <c r="G71" s="402"/>
      <c r="H71" s="280"/>
      <c r="I71" s="280"/>
      <c r="J71" s="280"/>
      <c r="K71" s="280"/>
      <c r="L71" s="280"/>
      <c r="M71" s="280"/>
      <c r="N71" s="280"/>
      <c r="O71" s="280"/>
      <c r="P71" s="280"/>
      <c r="Q71" s="280"/>
      <c r="R71" s="280"/>
    </row>
    <row r="72" spans="2:18">
      <c r="B72" s="403"/>
      <c r="C72" s="404"/>
      <c r="D72" s="404"/>
      <c r="E72" s="404"/>
      <c r="F72" s="404"/>
      <c r="G72" s="404"/>
      <c r="H72" s="405"/>
      <c r="I72" s="405"/>
      <c r="J72" s="405"/>
      <c r="K72" s="405"/>
      <c r="L72" s="405"/>
      <c r="M72" s="405"/>
      <c r="N72" s="405"/>
      <c r="O72" s="405"/>
      <c r="P72" s="405"/>
      <c r="Q72" s="405"/>
      <c r="R72" s="405"/>
    </row>
    <row r="73" spans="2:18" ht="16">
      <c r="B73" s="273"/>
      <c r="C73" s="921" t="s">
        <v>355</v>
      </c>
      <c r="D73" s="397"/>
      <c r="E73" s="397"/>
      <c r="F73" s="397"/>
      <c r="G73" s="397"/>
    </row>
    <row r="74" spans="2:18">
      <c r="R74" s="278" t="s">
        <v>33</v>
      </c>
    </row>
    <row r="75" spans="2:18">
      <c r="B75" s="980" t="s">
        <v>226</v>
      </c>
      <c r="C75" s="980" t="s">
        <v>43</v>
      </c>
      <c r="D75" s="987" t="s">
        <v>213</v>
      </c>
      <c r="E75" s="988"/>
      <c r="F75" s="989"/>
      <c r="G75" s="987" t="s">
        <v>214</v>
      </c>
      <c r="H75" s="988"/>
      <c r="I75" s="989"/>
      <c r="J75" s="987" t="s">
        <v>215</v>
      </c>
      <c r="K75" s="988"/>
      <c r="L75" s="989"/>
      <c r="M75" s="987" t="s">
        <v>174</v>
      </c>
      <c r="N75" s="988"/>
      <c r="O75" s="988"/>
      <c r="P75" s="988"/>
      <c r="Q75" s="989"/>
      <c r="R75" s="1071" t="s">
        <v>37</v>
      </c>
    </row>
    <row r="76" spans="2:18" ht="48">
      <c r="B76" s="981"/>
      <c r="C76" s="981"/>
      <c r="D76" s="785" t="s">
        <v>313</v>
      </c>
      <c r="E76" s="785" t="s">
        <v>311</v>
      </c>
      <c r="F76" s="785" t="s">
        <v>312</v>
      </c>
      <c r="G76" s="785" t="s">
        <v>313</v>
      </c>
      <c r="H76" s="785" t="s">
        <v>311</v>
      </c>
      <c r="I76" s="785" t="s">
        <v>312</v>
      </c>
      <c r="J76" s="785" t="s">
        <v>313</v>
      </c>
      <c r="K76" s="785" t="s">
        <v>59</v>
      </c>
      <c r="L76" s="785" t="s">
        <v>316</v>
      </c>
      <c r="M76" s="785" t="s">
        <v>540</v>
      </c>
      <c r="N76" s="785" t="s">
        <v>541</v>
      </c>
      <c r="O76" s="785" t="s">
        <v>542</v>
      </c>
      <c r="P76" s="785" t="s">
        <v>543</v>
      </c>
      <c r="Q76" s="785" t="s">
        <v>544</v>
      </c>
      <c r="R76" s="1152"/>
    </row>
    <row r="77" spans="2:18" ht="16">
      <c r="B77" s="1151"/>
      <c r="C77" s="1151"/>
      <c r="D77" s="785" t="s">
        <v>56</v>
      </c>
      <c r="E77" s="785" t="s">
        <v>57</v>
      </c>
      <c r="F77" s="785" t="s">
        <v>317</v>
      </c>
      <c r="G77" s="785" t="s">
        <v>318</v>
      </c>
      <c r="H77" s="785" t="s">
        <v>319</v>
      </c>
      <c r="I77" s="785" t="s">
        <v>545</v>
      </c>
      <c r="J77" s="785" t="s">
        <v>546</v>
      </c>
      <c r="K77" s="785" t="s">
        <v>547</v>
      </c>
      <c r="L77" s="785" t="s">
        <v>567</v>
      </c>
      <c r="M77" s="785" t="s">
        <v>86</v>
      </c>
      <c r="N77" s="785" t="s">
        <v>86</v>
      </c>
      <c r="O77" s="785" t="s">
        <v>86</v>
      </c>
      <c r="P77" s="785" t="s">
        <v>86</v>
      </c>
      <c r="Q77" s="785" t="s">
        <v>86</v>
      </c>
      <c r="R77" s="787"/>
    </row>
    <row r="78" spans="2:18">
      <c r="B78" s="279"/>
      <c r="C78" s="364"/>
      <c r="D78" s="406"/>
      <c r="E78" s="406"/>
      <c r="F78" s="406"/>
      <c r="G78" s="406"/>
      <c r="H78" s="406"/>
      <c r="I78" s="406"/>
      <c r="J78" s="406"/>
      <c r="K78" s="406"/>
      <c r="L78" s="406"/>
      <c r="M78" s="406"/>
      <c r="N78" s="406"/>
      <c r="O78" s="406"/>
      <c r="P78" s="406"/>
      <c r="Q78" s="406"/>
      <c r="R78" s="407"/>
    </row>
    <row r="79" spans="2:18" ht="16">
      <c r="B79" s="399">
        <v>1</v>
      </c>
      <c r="C79" s="923" t="s">
        <v>849</v>
      </c>
      <c r="D79" s="400"/>
      <c r="E79" s="400"/>
      <c r="F79" s="400"/>
      <c r="G79" s="400"/>
      <c r="H79" s="280"/>
      <c r="I79" s="280"/>
      <c r="J79" s="280"/>
      <c r="K79" s="280"/>
      <c r="L79" s="280"/>
      <c r="M79" s="280"/>
      <c r="N79" s="280"/>
      <c r="O79" s="280"/>
      <c r="P79" s="280"/>
      <c r="Q79" s="280"/>
      <c r="R79" s="280"/>
    </row>
    <row r="80" spans="2:18" ht="16">
      <c r="B80" s="279">
        <v>1.1000000000000001</v>
      </c>
      <c r="C80" s="922" t="s">
        <v>175</v>
      </c>
      <c r="D80" s="395"/>
      <c r="E80" s="395"/>
      <c r="F80" s="395"/>
      <c r="G80" s="395"/>
      <c r="H80" s="606">
        <f>E84</f>
        <v>204.32499999999999</v>
      </c>
      <c r="I80" s="280"/>
      <c r="J80" s="280"/>
      <c r="K80" s="606">
        <f>H84</f>
        <v>175.42500000000001</v>
      </c>
      <c r="L80" s="280"/>
      <c r="M80" s="606">
        <f>K84</f>
        <v>124.52500000000001</v>
      </c>
      <c r="N80" s="606">
        <f>M84</f>
        <v>103.625</v>
      </c>
      <c r="O80" s="606">
        <f>N84</f>
        <v>82.724999999999994</v>
      </c>
      <c r="P80" s="606">
        <f>O84</f>
        <v>61.824999999999996</v>
      </c>
      <c r="Q80" s="606">
        <f>P84</f>
        <v>40.924999999999997</v>
      </c>
      <c r="R80" s="280"/>
    </row>
    <row r="81" spans="1:18" ht="32">
      <c r="B81" s="279">
        <f t="shared" ref="B81:B84" si="25">B80+0.1</f>
        <v>1.2000000000000002</v>
      </c>
      <c r="C81" s="922" t="s">
        <v>250</v>
      </c>
      <c r="D81" s="395"/>
      <c r="E81" s="395"/>
      <c r="F81" s="395"/>
      <c r="G81" s="395"/>
      <c r="I81" s="280"/>
      <c r="J81" s="280"/>
      <c r="L81" s="280"/>
      <c r="R81" s="280"/>
    </row>
    <row r="82" spans="1:18" s="911" customFormat="1" ht="16">
      <c r="A82" s="275"/>
      <c r="B82" s="279">
        <f t="shared" si="25"/>
        <v>1.3000000000000003</v>
      </c>
      <c r="C82" s="922" t="s">
        <v>239</v>
      </c>
      <c r="D82" s="395"/>
      <c r="E82" s="765">
        <v>220</v>
      </c>
      <c r="F82" s="538"/>
      <c r="G82" s="538"/>
      <c r="H82" s="481"/>
      <c r="I82" s="481"/>
      <c r="J82" s="481"/>
      <c r="K82" s="481"/>
      <c r="L82" s="481"/>
      <c r="M82" s="481"/>
      <c r="N82" s="481"/>
      <c r="O82" s="481"/>
      <c r="P82" s="481"/>
      <c r="Q82" s="481"/>
      <c r="R82" s="481"/>
    </row>
    <row r="83" spans="1:18" s="911" customFormat="1" ht="16">
      <c r="A83" s="275"/>
      <c r="B83" s="279">
        <f t="shared" si="25"/>
        <v>1.4000000000000004</v>
      </c>
      <c r="C83" s="922" t="s">
        <v>176</v>
      </c>
      <c r="D83" s="395"/>
      <c r="E83" s="765">
        <f>E82-E84</f>
        <v>15.675000000000011</v>
      </c>
      <c r="F83" s="538"/>
      <c r="G83" s="538"/>
      <c r="H83" s="897">
        <v>28.899999999999977</v>
      </c>
      <c r="I83" s="481"/>
      <c r="J83" s="481"/>
      <c r="K83" s="897">
        <v>50.9</v>
      </c>
      <c r="L83" s="481"/>
      <c r="M83" s="912">
        <v>20.9</v>
      </c>
      <c r="N83" s="912">
        <v>20.9</v>
      </c>
      <c r="O83" s="912">
        <v>20.9</v>
      </c>
      <c r="P83" s="912">
        <v>20.9</v>
      </c>
      <c r="Q83" s="912">
        <v>20.9</v>
      </c>
      <c r="R83" s="481"/>
    </row>
    <row r="84" spans="1:18" s="911" customFormat="1" ht="16">
      <c r="A84" s="275"/>
      <c r="B84" s="279">
        <f t="shared" si="25"/>
        <v>1.5000000000000004</v>
      </c>
      <c r="C84" s="922" t="s">
        <v>177</v>
      </c>
      <c r="D84" s="395"/>
      <c r="E84" s="765">
        <v>204.32499999999999</v>
      </c>
      <c r="F84" s="538"/>
      <c r="G84" s="538"/>
      <c r="H84" s="765">
        <f>H80+H82-H83</f>
        <v>175.42500000000001</v>
      </c>
      <c r="I84" s="790"/>
      <c r="J84" s="481"/>
      <c r="K84" s="765">
        <f>K80+K82-K83</f>
        <v>124.52500000000001</v>
      </c>
      <c r="L84" s="481"/>
      <c r="M84" s="765">
        <f>M80+M82-M83</f>
        <v>103.625</v>
      </c>
      <c r="N84" s="765">
        <f>N80+N82-N83</f>
        <v>82.724999999999994</v>
      </c>
      <c r="O84" s="765">
        <f>O80+O82-O83</f>
        <v>61.824999999999996</v>
      </c>
      <c r="P84" s="765">
        <f>P80+P82-P83</f>
        <v>40.924999999999997</v>
      </c>
      <c r="Q84" s="765">
        <f>Q80+Q82-Q83</f>
        <v>20.024999999999999</v>
      </c>
      <c r="R84" s="481"/>
    </row>
    <row r="85" spans="1:18" s="911" customFormat="1" ht="16">
      <c r="A85" s="275"/>
      <c r="B85" s="279">
        <f>B84+0.1</f>
        <v>1.6000000000000005</v>
      </c>
      <c r="C85" s="922" t="s">
        <v>354</v>
      </c>
      <c r="D85" s="395"/>
      <c r="E85" s="765">
        <f>(E82+E84)/2</f>
        <v>212.16249999999999</v>
      </c>
      <c r="F85" s="913"/>
      <c r="G85" s="538"/>
      <c r="H85" s="765">
        <f>(H80+H84)/2</f>
        <v>189.875</v>
      </c>
      <c r="I85" s="481"/>
      <c r="J85" s="481"/>
      <c r="K85" s="765">
        <f>(K80+K84)/2</f>
        <v>149.97500000000002</v>
      </c>
      <c r="L85" s="481"/>
      <c r="M85" s="765">
        <f>(M80+M84)/2</f>
        <v>114.075</v>
      </c>
      <c r="N85" s="765">
        <f>(N80+N84)/2</f>
        <v>93.174999999999997</v>
      </c>
      <c r="O85" s="765">
        <f>(O80+O84)/2</f>
        <v>72.274999999999991</v>
      </c>
      <c r="P85" s="765">
        <f>(P80+P84)/2</f>
        <v>51.375</v>
      </c>
      <c r="Q85" s="765">
        <f>(Q80+Q84)/2</f>
        <v>30.474999999999998</v>
      </c>
      <c r="R85" s="481"/>
    </row>
    <row r="86" spans="1:18" s="911" customFormat="1" ht="16">
      <c r="A86" s="275"/>
      <c r="B86" s="279">
        <f>B85+0.1</f>
        <v>1.7000000000000006</v>
      </c>
      <c r="C86" s="922" t="s">
        <v>178</v>
      </c>
      <c r="D86" s="395"/>
      <c r="E86" s="914">
        <f>E87/E85/214*365</f>
        <v>9.2552104436347732E-2</v>
      </c>
      <c r="F86" s="538"/>
      <c r="G86" s="538"/>
      <c r="H86" s="914">
        <f>(9.25%*152+9.35%*213)/365</f>
        <v>9.3083561643835633E-2</v>
      </c>
      <c r="I86" s="481"/>
      <c r="J86" s="481"/>
      <c r="K86" s="914">
        <v>9.35E-2</v>
      </c>
      <c r="L86" s="481"/>
      <c r="M86" s="914">
        <v>9.35E-2</v>
      </c>
      <c r="N86" s="914">
        <v>9.35E-2</v>
      </c>
      <c r="O86" s="914">
        <v>9.35E-2</v>
      </c>
      <c r="P86" s="914">
        <v>9.35E-2</v>
      </c>
      <c r="Q86" s="914">
        <v>9.35E-2</v>
      </c>
      <c r="R86" s="481"/>
    </row>
    <row r="87" spans="1:18" s="911" customFormat="1" ht="16">
      <c r="A87" s="275"/>
      <c r="B87" s="279">
        <f>B86+0.1</f>
        <v>1.8000000000000007</v>
      </c>
      <c r="C87" s="922" t="s">
        <v>72</v>
      </c>
      <c r="D87" s="395"/>
      <c r="E87" s="765">
        <v>11.512664036986296</v>
      </c>
      <c r="F87" s="913"/>
      <c r="G87" s="538"/>
      <c r="H87" s="765">
        <v>17.9827704</v>
      </c>
      <c r="I87" s="481"/>
      <c r="J87" s="481"/>
      <c r="K87" s="915">
        <f>K85*K86</f>
        <v>14.022662500000003</v>
      </c>
      <c r="L87" s="481"/>
      <c r="M87" s="765">
        <f>M85*M86</f>
        <v>10.666012500000001</v>
      </c>
      <c r="N87" s="765">
        <f t="shared" ref="N87:Q87" si="26">N85*N86</f>
        <v>8.7118625000000005</v>
      </c>
      <c r="O87" s="765">
        <f t="shared" si="26"/>
        <v>6.7577124999999993</v>
      </c>
      <c r="P87" s="765">
        <f t="shared" si="26"/>
        <v>4.8035625</v>
      </c>
      <c r="Q87" s="765">
        <f t="shared" si="26"/>
        <v>2.8494124999999997</v>
      </c>
      <c r="R87" s="481"/>
    </row>
    <row r="88" spans="1:18">
      <c r="B88" s="279"/>
      <c r="C88" s="922"/>
      <c r="D88" s="395"/>
      <c r="E88" s="395"/>
      <c r="F88" s="395"/>
      <c r="G88" s="395"/>
      <c r="H88" s="280"/>
      <c r="I88" s="280"/>
      <c r="J88" s="280"/>
      <c r="K88" s="280"/>
      <c r="L88" s="280"/>
      <c r="M88" s="280"/>
      <c r="N88" s="280"/>
      <c r="O88" s="280"/>
      <c r="P88" s="280"/>
      <c r="Q88" s="280"/>
      <c r="R88" s="280"/>
    </row>
    <row r="89" spans="1:18" ht="16">
      <c r="B89" s="399">
        <v>2</v>
      </c>
      <c r="C89" s="923" t="s">
        <v>470</v>
      </c>
      <c r="D89" s="400"/>
      <c r="E89" s="400"/>
      <c r="F89" s="400"/>
      <c r="G89" s="400"/>
      <c r="H89" s="280"/>
      <c r="I89" s="280"/>
      <c r="J89" s="280"/>
      <c r="K89" s="280"/>
      <c r="L89" s="280"/>
      <c r="M89" s="280"/>
      <c r="N89" s="280"/>
      <c r="O89" s="280"/>
      <c r="P89" s="280"/>
      <c r="Q89" s="280"/>
      <c r="R89" s="280"/>
    </row>
    <row r="90" spans="1:18" ht="16">
      <c r="B90" s="279">
        <f t="shared" ref="B90:B94" si="27">B89+0.1</f>
        <v>2.1</v>
      </c>
      <c r="C90" s="922" t="s">
        <v>175</v>
      </c>
      <c r="D90" s="395"/>
      <c r="E90" s="395"/>
      <c r="F90" s="395"/>
      <c r="G90" s="395"/>
      <c r="H90" s="280"/>
      <c r="I90" s="280"/>
      <c r="J90" s="280"/>
      <c r="K90" s="280"/>
      <c r="L90" s="280"/>
      <c r="M90" s="280"/>
      <c r="N90" s="280"/>
      <c r="O90" s="280"/>
      <c r="P90" s="280"/>
      <c r="Q90" s="280"/>
      <c r="R90" s="280"/>
    </row>
    <row r="91" spans="1:18" ht="32">
      <c r="B91" s="279">
        <f t="shared" si="27"/>
        <v>2.2000000000000002</v>
      </c>
      <c r="C91" s="922" t="s">
        <v>250</v>
      </c>
      <c r="D91" s="395"/>
      <c r="E91" s="395"/>
      <c r="F91" s="395"/>
      <c r="G91" s="395"/>
      <c r="H91" s="280"/>
      <c r="I91" s="280"/>
      <c r="J91" s="280"/>
      <c r="K91" s="280"/>
      <c r="L91" s="280"/>
      <c r="M91" s="280"/>
      <c r="N91" s="280"/>
      <c r="O91" s="280"/>
      <c r="P91" s="280"/>
      <c r="Q91" s="280"/>
      <c r="R91" s="280"/>
    </row>
    <row r="92" spans="1:18" ht="16">
      <c r="B92" s="279">
        <f t="shared" si="27"/>
        <v>2.3000000000000003</v>
      </c>
      <c r="C92" s="922" t="s">
        <v>239</v>
      </c>
      <c r="D92" s="395"/>
      <c r="E92" s="395"/>
      <c r="F92" s="395"/>
      <c r="G92" s="395"/>
      <c r="H92" s="280"/>
      <c r="I92" s="280"/>
      <c r="J92" s="280"/>
      <c r="K92" s="280"/>
      <c r="L92" s="280"/>
      <c r="M92" s="280"/>
      <c r="N92" s="280"/>
      <c r="O92" s="280"/>
      <c r="P92" s="280"/>
      <c r="Q92" s="280"/>
      <c r="R92" s="280"/>
    </row>
    <row r="93" spans="1:18" ht="16">
      <c r="B93" s="279">
        <f t="shared" si="27"/>
        <v>2.4000000000000004</v>
      </c>
      <c r="C93" s="922" t="s">
        <v>176</v>
      </c>
      <c r="D93" s="395"/>
      <c r="E93" s="395"/>
      <c r="F93" s="395"/>
      <c r="G93" s="395"/>
      <c r="H93" s="280"/>
      <c r="I93" s="280"/>
      <c r="J93" s="280"/>
      <c r="K93" s="280"/>
      <c r="L93" s="280"/>
      <c r="M93" s="280"/>
      <c r="N93" s="280"/>
      <c r="O93" s="280"/>
      <c r="P93" s="280"/>
      <c r="Q93" s="280"/>
      <c r="R93" s="280"/>
    </row>
    <row r="94" spans="1:18" ht="16">
      <c r="B94" s="279">
        <f t="shared" si="27"/>
        <v>2.5000000000000004</v>
      </c>
      <c r="C94" s="922" t="s">
        <v>177</v>
      </c>
      <c r="D94" s="395"/>
      <c r="E94" s="395"/>
      <c r="F94" s="395"/>
      <c r="G94" s="395"/>
      <c r="H94" s="280"/>
      <c r="I94" s="280"/>
      <c r="J94" s="280"/>
      <c r="K94" s="280"/>
      <c r="L94" s="280"/>
      <c r="M94" s="280"/>
      <c r="N94" s="280"/>
      <c r="O94" s="280"/>
      <c r="P94" s="280"/>
      <c r="Q94" s="280"/>
      <c r="R94" s="280"/>
    </row>
    <row r="95" spans="1:18" ht="16">
      <c r="B95" s="279">
        <f>B94+0.1</f>
        <v>2.6000000000000005</v>
      </c>
      <c r="C95" s="922" t="s">
        <v>354</v>
      </c>
      <c r="D95" s="395"/>
      <c r="E95" s="395"/>
      <c r="F95" s="395"/>
      <c r="G95" s="395"/>
      <c r="H95" s="280"/>
      <c r="I95" s="280"/>
      <c r="J95" s="280"/>
      <c r="K95" s="280"/>
      <c r="L95" s="280"/>
      <c r="M95" s="280"/>
      <c r="N95" s="280"/>
      <c r="O95" s="280"/>
      <c r="P95" s="280"/>
      <c r="Q95" s="280"/>
      <c r="R95" s="280"/>
    </row>
    <row r="96" spans="1:18" ht="16">
      <c r="B96" s="279">
        <f>B95+0.1</f>
        <v>2.7000000000000006</v>
      </c>
      <c r="C96" s="922" t="s">
        <v>178</v>
      </c>
      <c r="D96" s="395"/>
      <c r="E96" s="395"/>
      <c r="F96" s="395"/>
      <c r="G96" s="395"/>
      <c r="H96" s="280"/>
      <c r="I96" s="280"/>
      <c r="J96" s="280"/>
      <c r="K96" s="280"/>
      <c r="L96" s="280"/>
      <c r="M96" s="280"/>
      <c r="N96" s="280"/>
      <c r="O96" s="280"/>
      <c r="P96" s="280"/>
      <c r="Q96" s="280"/>
      <c r="R96" s="280"/>
    </row>
    <row r="97" spans="1:18" ht="16">
      <c r="B97" s="279">
        <f>B96+0.1</f>
        <v>2.8000000000000007</v>
      </c>
      <c r="C97" s="922" t="s">
        <v>72</v>
      </c>
      <c r="D97" s="395"/>
      <c r="E97" s="395"/>
      <c r="F97" s="395"/>
      <c r="G97" s="395"/>
      <c r="H97" s="280"/>
      <c r="I97" s="280"/>
      <c r="J97" s="280"/>
      <c r="K97" s="280"/>
      <c r="L97" s="280"/>
      <c r="M97" s="280"/>
      <c r="N97" s="280"/>
      <c r="O97" s="280"/>
      <c r="P97" s="280"/>
      <c r="Q97" s="280"/>
      <c r="R97" s="280"/>
    </row>
    <row r="98" spans="1:18">
      <c r="B98" s="279"/>
      <c r="C98" s="922"/>
      <c r="D98" s="395"/>
      <c r="E98" s="395"/>
      <c r="F98" s="395"/>
      <c r="G98" s="395"/>
      <c r="H98" s="280"/>
      <c r="I98" s="280"/>
      <c r="J98" s="280"/>
      <c r="K98" s="280"/>
      <c r="L98" s="280"/>
      <c r="M98" s="280"/>
      <c r="N98" s="280"/>
      <c r="O98" s="280"/>
      <c r="P98" s="280"/>
      <c r="Q98" s="280"/>
      <c r="R98" s="280"/>
    </row>
    <row r="99" spans="1:18">
      <c r="B99" s="279"/>
      <c r="C99" s="922"/>
      <c r="D99" s="395"/>
      <c r="E99" s="395"/>
      <c r="F99" s="395"/>
      <c r="G99" s="395"/>
      <c r="H99" s="280"/>
      <c r="I99" s="280"/>
      <c r="J99" s="280"/>
      <c r="K99" s="280"/>
      <c r="L99" s="280"/>
      <c r="M99" s="280"/>
      <c r="N99" s="280"/>
      <c r="O99" s="280"/>
      <c r="P99" s="280"/>
      <c r="Q99" s="280"/>
      <c r="R99" s="280"/>
    </row>
    <row r="100" spans="1:18" ht="16">
      <c r="B100" s="399">
        <v>3</v>
      </c>
      <c r="C100" s="923" t="s">
        <v>23</v>
      </c>
      <c r="D100" s="400"/>
      <c r="E100" s="400"/>
      <c r="F100" s="400"/>
      <c r="G100" s="395"/>
      <c r="H100" s="280"/>
      <c r="I100" s="280"/>
      <c r="J100" s="280"/>
      <c r="K100" s="280"/>
      <c r="L100" s="280"/>
      <c r="M100" s="280"/>
      <c r="N100" s="280"/>
      <c r="O100" s="280"/>
      <c r="P100" s="280"/>
      <c r="Q100" s="280"/>
      <c r="R100" s="280"/>
    </row>
    <row r="101" spans="1:18" ht="16">
      <c r="B101" s="279">
        <f t="shared" ref="B101:B108" si="28">B100+0.1</f>
        <v>3.1</v>
      </c>
      <c r="C101" s="922" t="s">
        <v>175</v>
      </c>
      <c r="D101" s="395"/>
      <c r="E101" s="587">
        <f>E80+E90</f>
        <v>0</v>
      </c>
      <c r="F101" s="395"/>
      <c r="G101" s="395"/>
      <c r="H101" s="587">
        <f>H80+H90</f>
        <v>204.32499999999999</v>
      </c>
      <c r="I101" s="280"/>
      <c r="J101" s="280"/>
      <c r="K101" s="587">
        <f>K80+K90</f>
        <v>175.42500000000001</v>
      </c>
      <c r="L101" s="280"/>
      <c r="M101" s="587">
        <f t="shared" ref="M101:Q104" si="29">M80+M90</f>
        <v>124.52500000000001</v>
      </c>
      <c r="N101" s="587">
        <f t="shared" si="29"/>
        <v>103.625</v>
      </c>
      <c r="O101" s="587">
        <f t="shared" si="29"/>
        <v>82.724999999999994</v>
      </c>
      <c r="P101" s="587">
        <f t="shared" si="29"/>
        <v>61.824999999999996</v>
      </c>
      <c r="Q101" s="587">
        <f t="shared" si="29"/>
        <v>40.924999999999997</v>
      </c>
      <c r="R101" s="280"/>
    </row>
    <row r="102" spans="1:18" ht="32">
      <c r="B102" s="279">
        <f t="shared" si="28"/>
        <v>3.2</v>
      </c>
      <c r="C102" s="922" t="s">
        <v>250</v>
      </c>
      <c r="D102" s="395"/>
      <c r="E102" s="587">
        <f>E81+E91</f>
        <v>0</v>
      </c>
      <c r="F102" s="395"/>
      <c r="G102" s="395"/>
      <c r="H102" s="587">
        <f>H81+H91</f>
        <v>0</v>
      </c>
      <c r="I102" s="280"/>
      <c r="J102" s="280"/>
      <c r="K102" s="587">
        <f>K81+K91</f>
        <v>0</v>
      </c>
      <c r="L102" s="280"/>
      <c r="M102" s="587">
        <f t="shared" si="29"/>
        <v>0</v>
      </c>
      <c r="N102" s="587">
        <f t="shared" si="29"/>
        <v>0</v>
      </c>
      <c r="O102" s="587">
        <f t="shared" si="29"/>
        <v>0</v>
      </c>
      <c r="P102" s="587">
        <f t="shared" si="29"/>
        <v>0</v>
      </c>
      <c r="Q102" s="587">
        <f t="shared" si="29"/>
        <v>0</v>
      </c>
      <c r="R102" s="280"/>
    </row>
    <row r="103" spans="1:18" ht="16">
      <c r="B103" s="279">
        <f t="shared" si="28"/>
        <v>3.3000000000000003</v>
      </c>
      <c r="C103" s="922" t="s">
        <v>239</v>
      </c>
      <c r="D103" s="395"/>
      <c r="E103" s="587">
        <f>E82+E92</f>
        <v>220</v>
      </c>
      <c r="F103" s="395"/>
      <c r="G103" s="395"/>
      <c r="H103" s="587">
        <f>H82+H92</f>
        <v>0</v>
      </c>
      <c r="I103" s="280"/>
      <c r="J103" s="280"/>
      <c r="K103" s="587">
        <f>K82+K92</f>
        <v>0</v>
      </c>
      <c r="L103" s="280"/>
      <c r="M103" s="587">
        <f t="shared" si="29"/>
        <v>0</v>
      </c>
      <c r="N103" s="587">
        <f t="shared" si="29"/>
        <v>0</v>
      </c>
      <c r="O103" s="587">
        <f t="shared" si="29"/>
        <v>0</v>
      </c>
      <c r="P103" s="587">
        <f t="shared" si="29"/>
        <v>0</v>
      </c>
      <c r="Q103" s="587">
        <f t="shared" si="29"/>
        <v>0</v>
      </c>
      <c r="R103" s="280"/>
    </row>
    <row r="104" spans="1:18" ht="16">
      <c r="B104" s="279">
        <f t="shared" si="28"/>
        <v>3.4000000000000004</v>
      </c>
      <c r="C104" s="922" t="s">
        <v>176</v>
      </c>
      <c r="D104" s="395"/>
      <c r="E104" s="587">
        <f>E83+E93</f>
        <v>15.675000000000011</v>
      </c>
      <c r="F104" s="395"/>
      <c r="G104" s="395"/>
      <c r="H104" s="587">
        <f>H83+H93</f>
        <v>28.899999999999977</v>
      </c>
      <c r="I104" s="280"/>
      <c r="J104" s="280"/>
      <c r="K104" s="587">
        <f>K83+K93</f>
        <v>50.9</v>
      </c>
      <c r="L104" s="280"/>
      <c r="M104" s="587">
        <f t="shared" si="29"/>
        <v>20.9</v>
      </c>
      <c r="N104" s="587">
        <f t="shared" si="29"/>
        <v>20.9</v>
      </c>
      <c r="O104" s="587">
        <f t="shared" si="29"/>
        <v>20.9</v>
      </c>
      <c r="P104" s="587">
        <f t="shared" si="29"/>
        <v>20.9</v>
      </c>
      <c r="Q104" s="587">
        <f t="shared" si="29"/>
        <v>20.9</v>
      </c>
      <c r="R104" s="280"/>
    </row>
    <row r="105" spans="1:18" ht="16">
      <c r="B105" s="279">
        <f t="shared" si="28"/>
        <v>3.5000000000000004</v>
      </c>
      <c r="C105" s="922" t="s">
        <v>177</v>
      </c>
      <c r="D105" s="395"/>
      <c r="E105" s="707">
        <f>E101-E102+E103-E104</f>
        <v>204.32499999999999</v>
      </c>
      <c r="F105" s="395"/>
      <c r="G105" s="395"/>
      <c r="H105" s="707">
        <f>H101-H102+H103-H104</f>
        <v>175.42500000000001</v>
      </c>
      <c r="I105" s="280"/>
      <c r="J105" s="280"/>
      <c r="K105" s="707">
        <f>K101-K102+K103-K104</f>
        <v>124.52500000000001</v>
      </c>
      <c r="L105" s="280"/>
      <c r="M105" s="707">
        <f>M101-M102+M103-M104</f>
        <v>103.625</v>
      </c>
      <c r="N105" s="707">
        <f>N101-N102+N103-N104</f>
        <v>82.724999999999994</v>
      </c>
      <c r="O105" s="707">
        <f>O101-O102+O103-O104</f>
        <v>61.824999999999996</v>
      </c>
      <c r="P105" s="707">
        <f>P101-P102+P103-P104</f>
        <v>40.924999999999997</v>
      </c>
      <c r="Q105" s="707">
        <f>Q101-Q102+Q103-Q104</f>
        <v>20.024999999999999</v>
      </c>
      <c r="R105" s="280"/>
    </row>
    <row r="106" spans="1:18" ht="16">
      <c r="B106" s="279">
        <f t="shared" si="28"/>
        <v>3.6000000000000005</v>
      </c>
      <c r="C106" s="922" t="s">
        <v>354</v>
      </c>
      <c r="D106" s="395"/>
      <c r="E106" s="707">
        <f>AVERAGE(E103,E105)</f>
        <v>212.16249999999999</v>
      </c>
      <c r="F106" s="395"/>
      <c r="G106" s="395"/>
      <c r="H106" s="707">
        <f>AVERAGE(H101,H105)</f>
        <v>189.875</v>
      </c>
      <c r="I106" s="280"/>
      <c r="J106" s="280"/>
      <c r="K106" s="707">
        <f>AVERAGE(K101,K105)</f>
        <v>149.97500000000002</v>
      </c>
      <c r="L106" s="280"/>
      <c r="M106" s="707">
        <f t="shared" ref="M106:Q106" si="30">AVERAGE(M101,M105)</f>
        <v>114.075</v>
      </c>
      <c r="N106" s="707">
        <f t="shared" si="30"/>
        <v>93.174999999999997</v>
      </c>
      <c r="O106" s="707">
        <f t="shared" si="30"/>
        <v>72.274999999999991</v>
      </c>
      <c r="P106" s="707">
        <f t="shared" si="30"/>
        <v>51.375</v>
      </c>
      <c r="Q106" s="707">
        <f t="shared" si="30"/>
        <v>30.474999999999998</v>
      </c>
      <c r="R106" s="280"/>
    </row>
    <row r="107" spans="1:18" s="911" customFormat="1" ht="16">
      <c r="A107" s="275"/>
      <c r="B107" s="279">
        <f t="shared" si="28"/>
        <v>3.7000000000000006</v>
      </c>
      <c r="C107" s="922" t="s">
        <v>178</v>
      </c>
      <c r="D107" s="395"/>
      <c r="E107" s="914">
        <f>E108/E106/214*365</f>
        <v>9.2552104436347732E-2</v>
      </c>
      <c r="F107" s="538"/>
      <c r="G107" s="538"/>
      <c r="H107" s="914">
        <f>(9.25%*152+9.35%*213)/365</f>
        <v>9.3083561643835633E-2</v>
      </c>
      <c r="I107" s="481"/>
      <c r="J107" s="481"/>
      <c r="K107" s="916">
        <f>K108/K106</f>
        <v>9.35E-2</v>
      </c>
      <c r="L107" s="481"/>
      <c r="M107" s="916">
        <f t="shared" ref="M107:Q107" si="31">M108/M106</f>
        <v>9.35E-2</v>
      </c>
      <c r="N107" s="916">
        <f t="shared" si="31"/>
        <v>9.3500000000000014E-2</v>
      </c>
      <c r="O107" s="916">
        <f t="shared" si="31"/>
        <v>9.35E-2</v>
      </c>
      <c r="P107" s="916">
        <f t="shared" si="31"/>
        <v>9.35E-2</v>
      </c>
      <c r="Q107" s="916">
        <f t="shared" si="31"/>
        <v>9.35E-2</v>
      </c>
      <c r="R107" s="481"/>
    </row>
    <row r="108" spans="1:18" ht="16">
      <c r="B108" s="279">
        <f t="shared" si="28"/>
        <v>3.8000000000000007</v>
      </c>
      <c r="C108" s="922" t="s">
        <v>72</v>
      </c>
      <c r="D108" s="395"/>
      <c r="E108" s="589">
        <f t="shared" ref="E108" si="32">E87+E97</f>
        <v>11.512664036986296</v>
      </c>
      <c r="F108" s="395"/>
      <c r="G108" s="395"/>
      <c r="H108" s="589">
        <f t="shared" ref="H108" si="33">H87+H97</f>
        <v>17.9827704</v>
      </c>
      <c r="I108" s="280"/>
      <c r="J108" s="280"/>
      <c r="K108" s="589">
        <f t="shared" ref="K108" si="34">K87+K97</f>
        <v>14.022662500000003</v>
      </c>
      <c r="L108" s="280"/>
      <c r="M108" s="589">
        <f t="shared" ref="M108:Q108" si="35">M87+M97</f>
        <v>10.666012500000001</v>
      </c>
      <c r="N108" s="589">
        <f t="shared" si="35"/>
        <v>8.7118625000000005</v>
      </c>
      <c r="O108" s="589">
        <f t="shared" si="35"/>
        <v>6.7577124999999993</v>
      </c>
      <c r="P108" s="589">
        <f t="shared" si="35"/>
        <v>4.8035625</v>
      </c>
      <c r="Q108" s="589">
        <f t="shared" si="35"/>
        <v>2.8494124999999997</v>
      </c>
      <c r="R108" s="280"/>
    </row>
    <row r="109" spans="1:18">
      <c r="B109" s="279"/>
      <c r="C109" s="922"/>
      <c r="D109" s="395"/>
      <c r="E109" s="395"/>
      <c r="F109" s="395"/>
      <c r="G109" s="395"/>
      <c r="H109" s="395"/>
      <c r="I109" s="280"/>
      <c r="J109" s="280"/>
      <c r="K109" s="395"/>
      <c r="L109" s="280"/>
      <c r="M109" s="395"/>
      <c r="N109" s="395"/>
      <c r="O109" s="395"/>
      <c r="P109" s="395"/>
      <c r="Q109" s="395"/>
      <c r="R109" s="280"/>
    </row>
    <row r="110" spans="1:18">
      <c r="B110" s="279"/>
      <c r="C110" s="923"/>
      <c r="D110" s="400"/>
      <c r="E110" s="400"/>
      <c r="F110" s="400"/>
      <c r="G110" s="400"/>
      <c r="H110" s="400"/>
      <c r="I110" s="280"/>
      <c r="J110" s="280"/>
      <c r="K110" s="400"/>
      <c r="L110" s="280"/>
      <c r="M110" s="400"/>
      <c r="N110" s="400"/>
      <c r="O110" s="400"/>
      <c r="P110" s="400"/>
      <c r="Q110" s="400"/>
      <c r="R110" s="280"/>
    </row>
    <row r="111" spans="1:18">
      <c r="B111" s="279"/>
      <c r="C111" s="922"/>
      <c r="D111" s="395"/>
      <c r="E111" s="395"/>
      <c r="F111" s="395"/>
      <c r="G111" s="395"/>
      <c r="H111" s="395"/>
      <c r="I111" s="280"/>
      <c r="J111" s="280"/>
      <c r="K111" s="395"/>
      <c r="L111" s="280"/>
      <c r="M111" s="395"/>
      <c r="N111" s="395"/>
      <c r="O111" s="395"/>
      <c r="P111" s="395"/>
      <c r="Q111" s="395"/>
      <c r="R111" s="280"/>
    </row>
    <row r="112" spans="1:18" ht="16">
      <c r="B112" s="279">
        <v>9</v>
      </c>
      <c r="C112" s="923" t="s">
        <v>44</v>
      </c>
      <c r="D112" s="400"/>
      <c r="E112" s="708">
        <f>E108</f>
        <v>11.512664036986296</v>
      </c>
      <c r="F112" s="400"/>
      <c r="G112" s="400"/>
      <c r="H112" s="708">
        <f>H108</f>
        <v>17.9827704</v>
      </c>
      <c r="I112" s="290"/>
      <c r="J112" s="290"/>
      <c r="K112" s="708">
        <f>K108</f>
        <v>14.022662500000003</v>
      </c>
      <c r="L112" s="290"/>
      <c r="M112" s="708">
        <f>M108</f>
        <v>10.666012500000001</v>
      </c>
      <c r="N112" s="708">
        <f>N108</f>
        <v>8.7118625000000005</v>
      </c>
      <c r="O112" s="708">
        <f>O108</f>
        <v>6.7577124999999993</v>
      </c>
      <c r="P112" s="708">
        <f>P108</f>
        <v>4.8035625</v>
      </c>
      <c r="Q112" s="708">
        <f>Q108</f>
        <v>2.8494124999999997</v>
      </c>
      <c r="R112" s="280"/>
    </row>
    <row r="113" spans="2:18" ht="16">
      <c r="B113" s="279">
        <v>10</v>
      </c>
      <c r="C113" s="924" t="s">
        <v>38</v>
      </c>
      <c r="D113" s="22"/>
      <c r="E113" s="22"/>
      <c r="F113" s="22"/>
      <c r="G113" s="22"/>
      <c r="H113" s="22"/>
      <c r="I113" s="280"/>
      <c r="J113" s="280"/>
      <c r="K113" s="22"/>
      <c r="L113" s="280"/>
      <c r="M113" s="22"/>
      <c r="N113" s="22"/>
      <c r="O113" s="22"/>
      <c r="P113" s="22"/>
      <c r="Q113" s="22"/>
      <c r="R113" s="280"/>
    </row>
    <row r="114" spans="2:18" ht="16">
      <c r="B114" s="399">
        <v>11</v>
      </c>
      <c r="C114" s="368" t="s">
        <v>45</v>
      </c>
      <c r="D114" s="290"/>
      <c r="E114" s="607">
        <f>E112-E113</f>
        <v>11.512664036986296</v>
      </c>
      <c r="F114" s="290"/>
      <c r="G114" s="290"/>
      <c r="H114" s="607">
        <f>H112-H113</f>
        <v>17.9827704</v>
      </c>
      <c r="I114" s="280"/>
      <c r="J114" s="280"/>
      <c r="K114" s="607">
        <f>K112-K113</f>
        <v>14.022662500000003</v>
      </c>
      <c r="L114" s="280"/>
      <c r="M114" s="607">
        <f>M112-M113</f>
        <v>10.666012500000001</v>
      </c>
      <c r="N114" s="607">
        <f>N112-N113</f>
        <v>8.7118625000000005</v>
      </c>
      <c r="O114" s="607">
        <f>O112-O113</f>
        <v>6.7577124999999993</v>
      </c>
      <c r="P114" s="607">
        <f>P112-P113</f>
        <v>4.8035625</v>
      </c>
      <c r="Q114" s="607">
        <f>Q112-Q113</f>
        <v>2.8494124999999997</v>
      </c>
      <c r="R114" s="280"/>
    </row>
    <row r="115" spans="2:18">
      <c r="B115" s="279"/>
      <c r="C115" s="402"/>
      <c r="D115" s="402"/>
      <c r="E115" s="402"/>
      <c r="F115" s="402"/>
      <c r="G115" s="402"/>
      <c r="H115" s="280"/>
      <c r="I115" s="280"/>
      <c r="J115" s="280"/>
      <c r="K115" s="280"/>
      <c r="L115" s="280"/>
      <c r="M115" s="280"/>
      <c r="N115" s="280"/>
      <c r="O115" s="280"/>
      <c r="P115" s="280"/>
      <c r="Q115" s="280"/>
      <c r="R115" s="280"/>
    </row>
    <row r="117" spans="2:18">
      <c r="C117" s="1147"/>
      <c r="D117" s="1147"/>
      <c r="E117" s="1147"/>
      <c r="F117" s="1147"/>
      <c r="G117" s="1147"/>
    </row>
  </sheetData>
  <mergeCells count="25">
    <mergeCell ref="B2:R2"/>
    <mergeCell ref="B3:R3"/>
    <mergeCell ref="B4:R4"/>
    <mergeCell ref="B75:B77"/>
    <mergeCell ref="C75:C77"/>
    <mergeCell ref="M75:Q75"/>
    <mergeCell ref="R75:R76"/>
    <mergeCell ref="R8:R9"/>
    <mergeCell ref="R28:R29"/>
    <mergeCell ref="B28:B29"/>
    <mergeCell ref="C28:C29"/>
    <mergeCell ref="G28:I28"/>
    <mergeCell ref="J28:L28"/>
    <mergeCell ref="M28:Q28"/>
    <mergeCell ref="D28:F28"/>
    <mergeCell ref="B8:B9"/>
    <mergeCell ref="M8:Q8"/>
    <mergeCell ref="D8:F8"/>
    <mergeCell ref="C117:G117"/>
    <mergeCell ref="G75:I75"/>
    <mergeCell ref="J75:L75"/>
    <mergeCell ref="D75:F75"/>
    <mergeCell ref="C8:C9"/>
    <mergeCell ref="G8:I8"/>
    <mergeCell ref="J8:L8"/>
  </mergeCells>
  <pageMargins left="0.43307086614173229" right="0.43307086614173229" top="0.43307086614173229" bottom="0.43307086614173229" header="0.31496062992125984" footer="0.31496062992125984"/>
  <pageSetup paperSize="9" scale="65" fitToWidth="4" fitToHeight="4" orientation="landscape" r:id="rId1"/>
  <headerFooter>
    <oddFooter>&amp;CPage. &amp;P</oddFooter>
  </headerFooter>
  <rowBreaks count="3" manualBreakCount="3">
    <brk id="25" max="16383" man="1"/>
    <brk id="70" min="1" max="17" man="1"/>
    <brk id="71" max="16383" man="1"/>
  </rowBreaks>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O45"/>
  <sheetViews>
    <sheetView showGridLines="0" view="pageBreakPreview" topLeftCell="A37" zoomScale="70" zoomScaleNormal="75" zoomScaleSheetLayoutView="70" workbookViewId="0">
      <selection activeCell="M53" sqref="M53"/>
    </sheetView>
  </sheetViews>
  <sheetFormatPr baseColWidth="10" defaultColWidth="9.1640625" defaultRowHeight="15"/>
  <cols>
    <col min="1" max="1" width="6.83203125" style="275" customWidth="1"/>
    <col min="2" max="2" width="7" style="275" customWidth="1"/>
    <col min="3" max="3" width="96.6640625" style="275" customWidth="1"/>
    <col min="4" max="6" width="14.5" style="275" customWidth="1"/>
    <col min="7" max="7" width="17.5" style="275" customWidth="1"/>
    <col min="8" max="8" width="16.83203125" style="275" customWidth="1"/>
    <col min="9" max="9" width="15" style="275" customWidth="1"/>
    <col min="10" max="10" width="17.5" style="275" customWidth="1"/>
    <col min="11" max="11" width="16.5" style="275" customWidth="1"/>
    <col min="12" max="14" width="18.6640625" style="275" customWidth="1"/>
    <col min="15" max="16384" width="9.1640625" style="275"/>
  </cols>
  <sheetData>
    <row r="2" spans="2:11">
      <c r="B2" s="1057" t="str">
        <f>Index!B2</f>
        <v>Jaigad Power Transco Ltd</v>
      </c>
      <c r="C2" s="1057"/>
      <c r="D2" s="1057"/>
      <c r="E2" s="1057"/>
      <c r="F2" s="1057"/>
      <c r="G2" s="1057"/>
      <c r="H2" s="1057"/>
      <c r="I2" s="1057"/>
      <c r="J2" s="1057"/>
      <c r="K2" s="374"/>
    </row>
    <row r="3" spans="2:11" s="9" customFormat="1">
      <c r="B3" s="1156" t="s">
        <v>186</v>
      </c>
      <c r="C3" s="1156"/>
      <c r="D3" s="1156"/>
      <c r="E3" s="1156"/>
      <c r="F3" s="1156"/>
      <c r="G3" s="1156"/>
      <c r="H3" s="1156"/>
      <c r="I3" s="1156"/>
      <c r="J3" s="1156"/>
      <c r="K3" s="375"/>
    </row>
    <row r="4" spans="2:11" s="9" customFormat="1">
      <c r="B4" s="1157" t="s">
        <v>306</v>
      </c>
      <c r="C4" s="1157"/>
      <c r="D4" s="1157"/>
      <c r="E4" s="1157"/>
      <c r="F4" s="1157"/>
      <c r="G4" s="1157"/>
      <c r="H4" s="1157"/>
      <c r="I4" s="1157"/>
      <c r="J4" s="1157"/>
      <c r="K4" s="375"/>
    </row>
    <row r="5" spans="2:11">
      <c r="C5" s="377"/>
    </row>
    <row r="6" spans="2:11">
      <c r="C6" s="377"/>
    </row>
    <row r="7" spans="2:11">
      <c r="C7" s="377" t="s">
        <v>568</v>
      </c>
    </row>
    <row r="8" spans="2:11">
      <c r="C8" s="377"/>
    </row>
    <row r="9" spans="2:11">
      <c r="D9" s="378"/>
      <c r="E9" s="378"/>
      <c r="F9" s="378"/>
      <c r="G9" s="378"/>
      <c r="I9" s="378"/>
      <c r="J9" s="278" t="s">
        <v>33</v>
      </c>
    </row>
    <row r="10" spans="2:11" s="274" customFormat="1" ht="24.5" customHeight="1">
      <c r="B10" s="1083" t="s">
        <v>240</v>
      </c>
      <c r="C10" s="1083" t="s">
        <v>4</v>
      </c>
      <c r="D10" s="1081" t="s">
        <v>356</v>
      </c>
      <c r="E10" s="987" t="s">
        <v>213</v>
      </c>
      <c r="F10" s="989"/>
      <c r="G10" s="987" t="s">
        <v>214</v>
      </c>
      <c r="H10" s="989"/>
      <c r="I10" s="987" t="s">
        <v>215</v>
      </c>
      <c r="J10" s="989"/>
    </row>
    <row r="11" spans="2:11" s="274" customFormat="1" ht="35" customHeight="1">
      <c r="B11" s="1084"/>
      <c r="C11" s="1084"/>
      <c r="D11" s="1082"/>
      <c r="E11" s="342" t="s">
        <v>313</v>
      </c>
      <c r="F11" s="362" t="s">
        <v>634</v>
      </c>
      <c r="G11" s="342" t="s">
        <v>313</v>
      </c>
      <c r="H11" s="362" t="s">
        <v>634</v>
      </c>
      <c r="I11" s="342" t="s">
        <v>313</v>
      </c>
      <c r="J11" s="362" t="s">
        <v>634</v>
      </c>
    </row>
    <row r="12" spans="2:11" ht="16">
      <c r="B12" s="315">
        <v>1</v>
      </c>
      <c r="C12" s="379" t="s">
        <v>241</v>
      </c>
      <c r="D12" s="380"/>
      <c r="E12" s="593">
        <v>0.38</v>
      </c>
      <c r="F12" s="593">
        <f>'F2.1 '!E56/12</f>
        <v>0.38046666666666668</v>
      </c>
      <c r="G12" s="594">
        <v>0.4</v>
      </c>
      <c r="H12" s="591">
        <f>'F2.1 '!J56/12</f>
        <v>0.39893333333333336</v>
      </c>
      <c r="I12" s="591">
        <v>0.42</v>
      </c>
      <c r="J12" s="591">
        <f>'F1 '!N9/12</f>
        <v>0.41863741519785885</v>
      </c>
    </row>
    <row r="13" spans="2:11" ht="16">
      <c r="B13" s="315">
        <f>B12+1</f>
        <v>2</v>
      </c>
      <c r="C13" s="316" t="s">
        <v>242</v>
      </c>
      <c r="D13" s="380"/>
      <c r="E13" s="593">
        <v>5.51</v>
      </c>
      <c r="F13" s="593">
        <f>'F4'!D22*1%</f>
        <v>5.507296825000001</v>
      </c>
      <c r="G13" s="594">
        <v>5.51</v>
      </c>
      <c r="H13" s="591">
        <f>'F4'!I22*1%</f>
        <v>5.5118524990000015</v>
      </c>
      <c r="I13" s="591">
        <v>5.51</v>
      </c>
      <c r="J13" s="591">
        <f>'F4'!N22*1%</f>
        <v>5.5118498890000014</v>
      </c>
    </row>
    <row r="14" spans="2:11" ht="16">
      <c r="B14" s="315">
        <f t="shared" ref="B14:B18" si="0">B13+1</f>
        <v>3</v>
      </c>
      <c r="C14" s="316" t="s">
        <v>179</v>
      </c>
      <c r="D14" s="380"/>
      <c r="E14" s="593">
        <v>11.24</v>
      </c>
      <c r="F14" s="593">
        <f>'F11'!E14/12*1.5</f>
        <v>11.1775</v>
      </c>
      <c r="G14" s="594">
        <v>8.5500000000000007</v>
      </c>
      <c r="H14" s="591">
        <f>'F11'!H14/12*1.5</f>
        <v>9.5072119625000013</v>
      </c>
      <c r="I14" s="591">
        <v>10.01</v>
      </c>
      <c r="J14" s="591">
        <f>'F11'!M14/12*1.5</f>
        <v>10.008749999999999</v>
      </c>
    </row>
    <row r="15" spans="2:11" ht="16">
      <c r="B15" s="315">
        <f t="shared" si="0"/>
        <v>4</v>
      </c>
      <c r="C15" s="379" t="s">
        <v>358</v>
      </c>
      <c r="D15" s="381"/>
      <c r="E15" s="595"/>
      <c r="F15" s="595"/>
      <c r="G15" s="594">
        <v>0</v>
      </c>
      <c r="H15" s="591"/>
      <c r="I15" s="591"/>
      <c r="J15" s="591"/>
    </row>
    <row r="16" spans="2:11" ht="16">
      <c r="B16" s="315">
        <f t="shared" si="0"/>
        <v>5</v>
      </c>
      <c r="C16" s="382" t="s">
        <v>357</v>
      </c>
      <c r="D16" s="381"/>
      <c r="E16" s="595">
        <f>SUM(E12:E15)</f>
        <v>17.13</v>
      </c>
      <c r="F16" s="595">
        <f t="shared" ref="F16:J16" si="1">SUM(F12:F15)</f>
        <v>17.06526349166667</v>
      </c>
      <c r="G16" s="595">
        <f t="shared" si="1"/>
        <v>14.46</v>
      </c>
      <c r="H16" s="595">
        <f t="shared" si="1"/>
        <v>15.417997794833337</v>
      </c>
      <c r="I16" s="595">
        <f t="shared" si="1"/>
        <v>15.94</v>
      </c>
      <c r="J16" s="595">
        <f t="shared" si="1"/>
        <v>15.93923730419786</v>
      </c>
    </row>
    <row r="17" spans="2:15" s="26" customFormat="1" ht="17.25" customHeight="1">
      <c r="B17" s="315">
        <f t="shared" si="0"/>
        <v>6</v>
      </c>
      <c r="C17" s="379" t="s">
        <v>243</v>
      </c>
      <c r="D17" s="383"/>
      <c r="E17" s="621">
        <v>0.10199999999999999</v>
      </c>
      <c r="F17" s="621">
        <f>'Rate-W.cap'!G14</f>
        <v>0.10181456043956044</v>
      </c>
      <c r="G17" s="622">
        <v>9.4500000000000001E-2</v>
      </c>
      <c r="H17" s="623">
        <f>'Rate-W.cap'!J14</f>
        <v>9.8892857142857143E-2</v>
      </c>
      <c r="I17" s="622">
        <v>9.4500000000000001E-2</v>
      </c>
      <c r="J17" s="623">
        <f>8.05%+1.5%</f>
        <v>9.5500000000000002E-2</v>
      </c>
      <c r="K17" s="384"/>
      <c r="L17" s="384"/>
      <c r="M17" s="384"/>
      <c r="N17" s="384"/>
      <c r="O17" s="384"/>
    </row>
    <row r="18" spans="2:15" s="26" customFormat="1" ht="16">
      <c r="B18" s="315">
        <f t="shared" si="0"/>
        <v>7</v>
      </c>
      <c r="C18" s="385" t="s">
        <v>359</v>
      </c>
      <c r="D18" s="383"/>
      <c r="E18" s="620">
        <f>E16*E17</f>
        <v>1.7472599999999998</v>
      </c>
      <c r="F18" s="620">
        <f t="shared" ref="F18:J18" si="2">F16*F17</f>
        <v>1.7374923011893204</v>
      </c>
      <c r="G18" s="620">
        <f t="shared" si="2"/>
        <v>1.3664700000000001</v>
      </c>
      <c r="H18" s="620">
        <f t="shared" si="2"/>
        <v>1.5247298533533395</v>
      </c>
      <c r="I18" s="620">
        <f t="shared" si="2"/>
        <v>1.5063299999999999</v>
      </c>
      <c r="J18" s="620">
        <f t="shared" si="2"/>
        <v>1.5221971625508957</v>
      </c>
      <c r="K18" s="384"/>
      <c r="L18" s="384"/>
      <c r="M18" s="384"/>
      <c r="N18" s="384"/>
      <c r="O18" s="384"/>
    </row>
    <row r="19" spans="2:15" s="26" customFormat="1">
      <c r="B19" s="386"/>
      <c r="C19" s="385"/>
      <c r="D19" s="383"/>
      <c r="E19" s="383"/>
      <c r="F19" s="383"/>
      <c r="G19" s="383"/>
      <c r="H19" s="383"/>
      <c r="I19" s="383"/>
      <c r="J19" s="383"/>
      <c r="K19" s="384"/>
      <c r="L19" s="384"/>
      <c r="M19" s="384"/>
      <c r="N19" s="384"/>
      <c r="O19" s="384"/>
    </row>
    <row r="20" spans="2:15" s="26" customFormat="1" ht="16">
      <c r="B20" s="386">
        <v>8</v>
      </c>
      <c r="C20" s="385" t="s">
        <v>521</v>
      </c>
      <c r="D20" s="383"/>
      <c r="E20" s="596">
        <v>0</v>
      </c>
      <c r="F20" s="596">
        <v>0</v>
      </c>
      <c r="G20" s="596">
        <v>0</v>
      </c>
      <c r="H20" s="596">
        <v>0</v>
      </c>
      <c r="I20" s="596">
        <v>0</v>
      </c>
      <c r="J20" s="596">
        <v>0</v>
      </c>
      <c r="K20" s="384"/>
      <c r="L20" s="384"/>
      <c r="M20" s="384"/>
      <c r="N20" s="384"/>
      <c r="O20" s="384"/>
    </row>
    <row r="21" spans="2:15">
      <c r="B21" s="315"/>
      <c r="C21" s="387"/>
      <c r="D21" s="383"/>
      <c r="E21" s="383"/>
      <c r="F21" s="383"/>
      <c r="G21" s="383"/>
      <c r="H21" s="383"/>
      <c r="I21" s="383"/>
      <c r="J21" s="383"/>
    </row>
    <row r="22" spans="2:15" ht="16">
      <c r="B22" s="388">
        <v>9</v>
      </c>
      <c r="C22" s="382" t="s">
        <v>48</v>
      </c>
      <c r="D22" s="383"/>
      <c r="E22" s="383"/>
      <c r="F22" s="383"/>
      <c r="G22" s="383"/>
      <c r="H22" s="383"/>
      <c r="I22" s="383"/>
      <c r="J22" s="383"/>
    </row>
    <row r="23" spans="2:15" ht="16">
      <c r="B23" s="315">
        <f t="shared" ref="B23:B24" si="3">B22+1</f>
        <v>10</v>
      </c>
      <c r="C23" s="379" t="s">
        <v>243</v>
      </c>
      <c r="D23" s="383"/>
      <c r="E23" s="596">
        <v>0</v>
      </c>
      <c r="F23" s="596">
        <v>0</v>
      </c>
      <c r="G23" s="596">
        <v>0</v>
      </c>
      <c r="H23" s="596">
        <v>0</v>
      </c>
      <c r="I23" s="596">
        <v>0</v>
      </c>
      <c r="J23" s="596">
        <v>0</v>
      </c>
    </row>
    <row r="24" spans="2:15" ht="16">
      <c r="B24" s="315">
        <f t="shared" si="3"/>
        <v>11</v>
      </c>
      <c r="C24" s="387" t="s">
        <v>48</v>
      </c>
      <c r="D24" s="383"/>
      <c r="E24" s="596">
        <v>0</v>
      </c>
      <c r="F24" s="596">
        <v>0</v>
      </c>
      <c r="G24" s="596">
        <v>0</v>
      </c>
      <c r="H24" s="596">
        <v>0</v>
      </c>
      <c r="I24" s="596">
        <v>0</v>
      </c>
      <c r="J24" s="596">
        <v>0</v>
      </c>
    </row>
    <row r="26" spans="2:15" s="26" customFormat="1">
      <c r="B26" s="389" t="s">
        <v>360</v>
      </c>
      <c r="C26" s="390"/>
      <c r="D26" s="390"/>
      <c r="E26" s="390"/>
      <c r="F26" s="390"/>
      <c r="G26" s="390"/>
      <c r="H26" s="390"/>
      <c r="I26" s="390"/>
      <c r="J26" s="390"/>
    </row>
    <row r="27" spans="2:15" s="26" customFormat="1">
      <c r="B27" s="391">
        <v>1</v>
      </c>
      <c r="C27" s="390" t="s">
        <v>361</v>
      </c>
      <c r="D27" s="392"/>
      <c r="E27" s="392"/>
      <c r="F27" s="392"/>
      <c r="G27" s="392"/>
      <c r="H27" s="393"/>
      <c r="I27" s="393"/>
      <c r="J27" s="390"/>
    </row>
    <row r="28" spans="2:15" s="26" customFormat="1">
      <c r="B28" s="391">
        <v>2</v>
      </c>
      <c r="C28" s="390" t="s">
        <v>362</v>
      </c>
      <c r="D28" s="392"/>
      <c r="E28" s="392"/>
      <c r="F28" s="392"/>
      <c r="G28" s="392"/>
      <c r="H28" s="393"/>
      <c r="I28" s="393"/>
      <c r="J28" s="390"/>
    </row>
    <row r="29" spans="2:15" s="9" customFormat="1">
      <c r="B29" s="394"/>
      <c r="D29" s="390"/>
      <c r="E29" s="390"/>
      <c r="F29" s="390"/>
      <c r="G29" s="390"/>
      <c r="H29" s="390"/>
      <c r="I29" s="390"/>
      <c r="J29" s="390"/>
    </row>
    <row r="32" spans="2:15">
      <c r="I32" s="278" t="s">
        <v>33</v>
      </c>
    </row>
    <row r="33" spans="2:9" ht="24.5" customHeight="1">
      <c r="B33" s="1080" t="s">
        <v>240</v>
      </c>
      <c r="C33" s="983" t="s">
        <v>4</v>
      </c>
      <c r="D33" s="983" t="s">
        <v>356</v>
      </c>
      <c r="E33" s="1153" t="s">
        <v>78</v>
      </c>
      <c r="F33" s="1154"/>
      <c r="G33" s="1154"/>
      <c r="H33" s="1154"/>
      <c r="I33" s="1155"/>
    </row>
    <row r="34" spans="2:9" ht="24.5" customHeight="1">
      <c r="B34" s="1080"/>
      <c r="C34" s="983"/>
      <c r="D34" s="983"/>
      <c r="E34" s="362" t="s">
        <v>540</v>
      </c>
      <c r="F34" s="362" t="s">
        <v>541</v>
      </c>
      <c r="G34" s="362" t="s">
        <v>542</v>
      </c>
      <c r="H34" s="362" t="s">
        <v>543</v>
      </c>
      <c r="I34" s="362" t="s">
        <v>544</v>
      </c>
    </row>
    <row r="35" spans="2:9" ht="16">
      <c r="B35" s="315">
        <v>1</v>
      </c>
      <c r="C35" s="379" t="s">
        <v>241</v>
      </c>
      <c r="D35" s="395"/>
      <c r="E35" s="707">
        <f>'F1 '!P9/12</f>
        <v>0.44029999999999997</v>
      </c>
      <c r="F35" s="707">
        <f>'F1 '!Q9/12</f>
        <v>0.45295000000000002</v>
      </c>
      <c r="G35" s="707">
        <f>'F1 '!R9/12</f>
        <v>0.46871666666666667</v>
      </c>
      <c r="H35" s="707">
        <f>'F1 '!S9/12</f>
        <v>0.42238333333333333</v>
      </c>
      <c r="I35" s="707">
        <f>'F1 '!T9/12</f>
        <v>0.43895000000000001</v>
      </c>
    </row>
    <row r="36" spans="2:9" ht="16">
      <c r="B36" s="315">
        <f t="shared" ref="B36:B41" si="4">B35+1</f>
        <v>2</v>
      </c>
      <c r="C36" s="316" t="s">
        <v>242</v>
      </c>
      <c r="D36" s="395"/>
      <c r="E36" s="707">
        <f>'F4'!S22*1%</f>
        <v>5.5124498890000018</v>
      </c>
      <c r="F36" s="606">
        <f>'F4'!D38*1%</f>
        <v>5.5401498890000003</v>
      </c>
      <c r="G36" s="606">
        <f>'F4'!I38*1%</f>
        <v>5.5403498890000007</v>
      </c>
      <c r="H36" s="606">
        <f>'F4'!N38*1%</f>
        <v>5.5405498890000002</v>
      </c>
      <c r="I36" s="606">
        <f>'F4'!S38*1%</f>
        <v>5.5407498889999998</v>
      </c>
    </row>
    <row r="37" spans="2:9" ht="16">
      <c r="B37" s="315">
        <f t="shared" si="4"/>
        <v>3</v>
      </c>
      <c r="C37" s="316" t="s">
        <v>256</v>
      </c>
      <c r="D37" s="395"/>
      <c r="E37" s="707">
        <f ca="1">'F1 '!P35/12*1.5</f>
        <v>12.108167979968343</v>
      </c>
      <c r="F37" s="707">
        <f ca="1">'F1 '!Q35/12*1.5</f>
        <v>9.1155762063881784</v>
      </c>
      <c r="G37" s="707">
        <f ca="1">'F1 '!R35/12*1.5</f>
        <v>8.7803728406816752</v>
      </c>
      <c r="H37" s="707">
        <f ca="1">'F1 '!S35/12*1.5</f>
        <v>8.3511987936191137</v>
      </c>
      <c r="I37" s="707">
        <f ca="1">'F1 '!T35/12*1.5</f>
        <v>8.0192308996108146</v>
      </c>
    </row>
    <row r="38" spans="2:9" ht="16">
      <c r="B38" s="315">
        <f t="shared" si="4"/>
        <v>4</v>
      </c>
      <c r="C38" s="379" t="s">
        <v>358</v>
      </c>
      <c r="D38" s="395"/>
      <c r="E38" s="395"/>
      <c r="F38" s="280"/>
      <c r="G38" s="280"/>
      <c r="H38" s="280"/>
      <c r="I38" s="280"/>
    </row>
    <row r="39" spans="2:9" ht="16">
      <c r="B39" s="315">
        <f t="shared" si="4"/>
        <v>5</v>
      </c>
      <c r="C39" s="382" t="s">
        <v>357</v>
      </c>
      <c r="D39" s="395"/>
      <c r="E39" s="708">
        <f ca="1">SUM(E35:E38)</f>
        <v>18.060917868968346</v>
      </c>
      <c r="F39" s="708">
        <f t="shared" ref="F39:I39" ca="1" si="5">SUM(F35:F38)</f>
        <v>15.10867609538818</v>
      </c>
      <c r="G39" s="708">
        <f t="shared" ca="1" si="5"/>
        <v>14.789439396348342</v>
      </c>
      <c r="H39" s="708">
        <f t="shared" ca="1" si="5"/>
        <v>14.314132015952447</v>
      </c>
      <c r="I39" s="708">
        <f t="shared" ca="1" si="5"/>
        <v>13.998930788610814</v>
      </c>
    </row>
    <row r="40" spans="2:9" ht="16">
      <c r="B40" s="315">
        <f t="shared" si="4"/>
        <v>6</v>
      </c>
      <c r="C40" s="379" t="s">
        <v>243</v>
      </c>
      <c r="D40" s="395"/>
      <c r="E40" s="705">
        <f>J17</f>
        <v>9.5500000000000002E-2</v>
      </c>
      <c r="F40" s="706">
        <f>E40</f>
        <v>9.5500000000000002E-2</v>
      </c>
      <c r="G40" s="706">
        <f t="shared" ref="G40:I40" si="6">F40</f>
        <v>9.5500000000000002E-2</v>
      </c>
      <c r="H40" s="706">
        <f t="shared" si="6"/>
        <v>9.5500000000000002E-2</v>
      </c>
      <c r="I40" s="706">
        <f t="shared" si="6"/>
        <v>9.5500000000000002E-2</v>
      </c>
    </row>
    <row r="41" spans="2:9" ht="16">
      <c r="B41" s="315">
        <f t="shared" si="4"/>
        <v>7</v>
      </c>
      <c r="C41" s="387" t="s">
        <v>24</v>
      </c>
      <c r="D41" s="280"/>
      <c r="E41" s="607">
        <f ca="1">E39*E40</f>
        <v>1.724817656486477</v>
      </c>
      <c r="F41" s="607">
        <f t="shared" ref="F41:I41" ca="1" si="7">F39*F40</f>
        <v>1.4428785671095712</v>
      </c>
      <c r="G41" s="607">
        <f t="shared" ca="1" si="7"/>
        <v>1.4123914623512668</v>
      </c>
      <c r="H41" s="607">
        <f t="shared" ca="1" si="7"/>
        <v>1.3669996075234587</v>
      </c>
      <c r="I41" s="607">
        <f t="shared" ca="1" si="7"/>
        <v>1.3368978903123327</v>
      </c>
    </row>
    <row r="42" spans="2:9">
      <c r="B42" s="315"/>
      <c r="C42" s="387"/>
      <c r="D42" s="280"/>
      <c r="E42" s="280"/>
      <c r="F42" s="280"/>
      <c r="G42" s="280"/>
      <c r="H42" s="280"/>
      <c r="I42" s="280"/>
    </row>
    <row r="43" spans="2:9" ht="16">
      <c r="B43" s="388">
        <v>8</v>
      </c>
      <c r="C43" s="382" t="s">
        <v>48</v>
      </c>
      <c r="D43" s="280"/>
      <c r="E43" s="280"/>
      <c r="F43" s="280"/>
      <c r="G43" s="280"/>
      <c r="H43" s="280"/>
      <c r="I43" s="280"/>
    </row>
    <row r="44" spans="2:9" ht="16">
      <c r="B44" s="315">
        <f t="shared" ref="B44:B45" si="8">B43+1</f>
        <v>9</v>
      </c>
      <c r="C44" s="379" t="s">
        <v>615</v>
      </c>
      <c r="D44" s="280"/>
      <c r="E44" s="280"/>
      <c r="F44" s="280"/>
      <c r="G44" s="280"/>
      <c r="H44" s="280"/>
      <c r="I44" s="280"/>
    </row>
    <row r="45" spans="2:9" ht="16">
      <c r="B45" s="315">
        <f t="shared" si="8"/>
        <v>10</v>
      </c>
      <c r="C45" s="387" t="s">
        <v>48</v>
      </c>
      <c r="D45" s="280"/>
      <c r="E45" s="280"/>
      <c r="F45" s="280"/>
      <c r="G45" s="280"/>
      <c r="H45" s="280"/>
      <c r="I45" s="280"/>
    </row>
  </sheetData>
  <mergeCells count="13">
    <mergeCell ref="B2:J2"/>
    <mergeCell ref="B3:J3"/>
    <mergeCell ref="B4:J4"/>
    <mergeCell ref="G10:H10"/>
    <mergeCell ref="I10:J10"/>
    <mergeCell ref="E10:F10"/>
    <mergeCell ref="E33:I33"/>
    <mergeCell ref="B33:B34"/>
    <mergeCell ref="C33:C34"/>
    <mergeCell ref="D33:D34"/>
    <mergeCell ref="B10:B11"/>
    <mergeCell ref="C10:C11"/>
    <mergeCell ref="D10:D11"/>
  </mergeCells>
  <pageMargins left="0.43307086614173229" right="0.43307086614173229" top="0.43307086614173229" bottom="0.43307086614173229" header="0.31496062992125984" footer="0.31496062992125984"/>
  <pageSetup paperSize="9" scale="58" orientation="landscape" r:id="rId1"/>
  <headerFoot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pageSetUpPr fitToPage="1"/>
  </sheetPr>
  <dimension ref="B2:N51"/>
  <sheetViews>
    <sheetView showGridLines="0" view="pageBreakPreview" topLeftCell="A31" zoomScale="70" zoomScaleNormal="75" zoomScaleSheetLayoutView="70" workbookViewId="0">
      <selection activeCell="M53" sqref="M53"/>
    </sheetView>
  </sheetViews>
  <sheetFormatPr baseColWidth="10" defaultColWidth="9.1640625" defaultRowHeight="15"/>
  <cols>
    <col min="1" max="1" width="6.33203125" style="363" customWidth="1"/>
    <col min="2" max="2" width="8.33203125" style="363" customWidth="1"/>
    <col min="3" max="3" width="63.6640625" style="363" customWidth="1"/>
    <col min="4" max="6" width="16.83203125" style="363" customWidth="1"/>
    <col min="7" max="9" width="16.5" style="363" customWidth="1"/>
    <col min="10" max="11" width="15.6640625" style="363" customWidth="1"/>
    <col min="12" max="12" width="19.1640625" style="363" customWidth="1"/>
    <col min="13" max="13" width="8.33203125" style="363" bestFit="1" customWidth="1"/>
    <col min="14" max="16384" width="9.1640625" style="363"/>
  </cols>
  <sheetData>
    <row r="2" spans="2:14">
      <c r="B2" s="1160" t="str">
        <f>Index!B2</f>
        <v>Jaigad Power Transco Ltd</v>
      </c>
      <c r="C2" s="1160"/>
      <c r="D2" s="1160"/>
      <c r="E2" s="1160"/>
      <c r="F2" s="1160"/>
      <c r="G2" s="1160"/>
      <c r="H2" s="1160"/>
      <c r="I2" s="1160"/>
      <c r="J2" s="1160"/>
      <c r="K2" s="1160"/>
      <c r="L2" s="1160"/>
      <c r="M2" s="311"/>
      <c r="N2" s="311"/>
    </row>
    <row r="3" spans="2:14" s="5" customFormat="1">
      <c r="B3" s="1064" t="s">
        <v>186</v>
      </c>
      <c r="C3" s="1064"/>
      <c r="D3" s="1064"/>
      <c r="E3" s="1064"/>
      <c r="F3" s="1064"/>
      <c r="G3" s="1064"/>
      <c r="H3" s="1064"/>
      <c r="I3" s="1064"/>
      <c r="J3" s="1064"/>
      <c r="K3" s="1064"/>
      <c r="L3" s="1064"/>
      <c r="M3" s="311"/>
      <c r="N3" s="311"/>
    </row>
    <row r="4" spans="2:14" s="5" customFormat="1">
      <c r="B4" s="1064" t="s">
        <v>498</v>
      </c>
      <c r="C4" s="1064"/>
      <c r="D4" s="1064"/>
      <c r="E4" s="1064"/>
      <c r="F4" s="1064"/>
      <c r="G4" s="1064"/>
      <c r="H4" s="1064"/>
      <c r="I4" s="1064"/>
      <c r="J4" s="1064"/>
      <c r="K4" s="1064"/>
      <c r="L4" s="1064"/>
      <c r="M4" s="311"/>
      <c r="N4" s="311"/>
    </row>
    <row r="7" spans="2:14">
      <c r="L7" s="597" t="s">
        <v>33</v>
      </c>
    </row>
    <row r="8" spans="2:14">
      <c r="B8" s="983" t="s">
        <v>240</v>
      </c>
      <c r="C8" s="983" t="s">
        <v>4</v>
      </c>
      <c r="D8" s="987" t="s">
        <v>213</v>
      </c>
      <c r="E8" s="988"/>
      <c r="F8" s="989"/>
      <c r="G8" s="987" t="s">
        <v>214</v>
      </c>
      <c r="H8" s="988"/>
      <c r="I8" s="989"/>
      <c r="J8" s="987" t="s">
        <v>215</v>
      </c>
      <c r="K8" s="988"/>
      <c r="L8" s="989"/>
    </row>
    <row r="9" spans="2:14" ht="32">
      <c r="B9" s="983"/>
      <c r="C9" s="983"/>
      <c r="D9" s="362" t="s">
        <v>313</v>
      </c>
      <c r="E9" s="362" t="s">
        <v>311</v>
      </c>
      <c r="F9" s="362" t="s">
        <v>312</v>
      </c>
      <c r="G9" s="362" t="s">
        <v>313</v>
      </c>
      <c r="H9" s="362" t="s">
        <v>311</v>
      </c>
      <c r="I9" s="362" t="s">
        <v>312</v>
      </c>
      <c r="J9" s="362" t="s">
        <v>313</v>
      </c>
      <c r="K9" s="362" t="s">
        <v>59</v>
      </c>
      <c r="L9" s="362" t="s">
        <v>316</v>
      </c>
    </row>
    <row r="10" spans="2:14" ht="16">
      <c r="B10" s="983"/>
      <c r="C10" s="983"/>
      <c r="D10" s="362" t="s">
        <v>56</v>
      </c>
      <c r="E10" s="362" t="s">
        <v>57</v>
      </c>
      <c r="F10" s="362" t="s">
        <v>317</v>
      </c>
      <c r="G10" s="362" t="s">
        <v>318</v>
      </c>
      <c r="H10" s="362" t="s">
        <v>319</v>
      </c>
      <c r="I10" s="362" t="s">
        <v>545</v>
      </c>
      <c r="J10" s="362" t="s">
        <v>546</v>
      </c>
      <c r="K10" s="362" t="s">
        <v>547</v>
      </c>
      <c r="L10" s="362" t="s">
        <v>567</v>
      </c>
    </row>
    <row r="11" spans="2:14" s="365" customFormat="1" ht="16">
      <c r="B11" s="279">
        <v>1</v>
      </c>
      <c r="C11" s="364" t="s">
        <v>2</v>
      </c>
      <c r="D11" s="588">
        <v>138.28</v>
      </c>
      <c r="E11" s="588">
        <f>Capitalisaiton!S37</f>
        <v>138.28414850999999</v>
      </c>
      <c r="F11" s="588">
        <f>E11-D11</f>
        <v>4.1485099999931663E-3</v>
      </c>
      <c r="G11" s="604">
        <f>D16</f>
        <v>138.43</v>
      </c>
      <c r="H11" s="604">
        <f>E16</f>
        <v>138.42081873000001</v>
      </c>
      <c r="I11" s="588">
        <f>H11-G11</f>
        <v>-9.181269999999131E-3</v>
      </c>
      <c r="J11" s="604">
        <f>G16</f>
        <v>138.43</v>
      </c>
      <c r="K11" s="604">
        <f>H16</f>
        <v>138.42081293000001</v>
      </c>
      <c r="L11" s="588">
        <f>K11-J11</f>
        <v>-9.1870699999958561E-3</v>
      </c>
    </row>
    <row r="12" spans="2:14" s="365" customFormat="1" ht="16">
      <c r="B12" s="366">
        <v>2</v>
      </c>
      <c r="C12" s="364" t="s">
        <v>181</v>
      </c>
      <c r="D12" s="588">
        <f>'F3'!D12</f>
        <v>0.5</v>
      </c>
      <c r="E12" s="588">
        <f>'F3'!E14</f>
        <v>0.45556739999999996</v>
      </c>
      <c r="F12" s="588">
        <f>E12-D12</f>
        <v>-4.4432600000000044E-2</v>
      </c>
      <c r="G12" s="604">
        <f>'F3'!G14</f>
        <v>0</v>
      </c>
      <c r="H12" s="588">
        <f>'F3'!H14</f>
        <v>1.189E-3</v>
      </c>
      <c r="I12" s="588">
        <f>H12-G12</f>
        <v>1.189E-3</v>
      </c>
      <c r="J12" s="604">
        <f>'F3'!J14</f>
        <v>2.77</v>
      </c>
      <c r="K12" s="588">
        <f>'F3'!M14</f>
        <v>6.0000000000000005E-2</v>
      </c>
      <c r="L12" s="588">
        <f>K12-J12</f>
        <v>-2.71</v>
      </c>
    </row>
    <row r="13" spans="2:14" s="365" customFormat="1" ht="16">
      <c r="B13" s="366">
        <v>4</v>
      </c>
      <c r="C13" s="364" t="s">
        <v>185</v>
      </c>
      <c r="D13" s="599">
        <v>0</v>
      </c>
      <c r="E13" s="599">
        <v>0</v>
      </c>
      <c r="F13" s="588">
        <f>E13-D13</f>
        <v>0</v>
      </c>
      <c r="G13" s="604">
        <v>0</v>
      </c>
      <c r="H13" s="588"/>
      <c r="I13" s="588">
        <f>H13-G13</f>
        <v>0</v>
      </c>
      <c r="J13" s="604">
        <v>0</v>
      </c>
      <c r="K13" s="588"/>
      <c r="L13" s="588">
        <f>K13-J13</f>
        <v>0</v>
      </c>
    </row>
    <row r="14" spans="2:14" s="365" customFormat="1" ht="16">
      <c r="B14" s="366">
        <v>3</v>
      </c>
      <c r="C14" s="364" t="s">
        <v>183</v>
      </c>
      <c r="D14" s="599">
        <f>D12*30%</f>
        <v>0.15</v>
      </c>
      <c r="E14" s="599">
        <f t="shared" ref="E14:L14" si="0">E12*30%</f>
        <v>0.13667021999999998</v>
      </c>
      <c r="F14" s="599">
        <f t="shared" si="0"/>
        <v>-1.3329780000000013E-2</v>
      </c>
      <c r="G14" s="599">
        <f t="shared" si="0"/>
        <v>0</v>
      </c>
      <c r="H14" s="599">
        <f t="shared" si="0"/>
        <v>3.567E-4</v>
      </c>
      <c r="I14" s="599">
        <f t="shared" ref="I14" si="1">I12*30%</f>
        <v>3.567E-4</v>
      </c>
      <c r="J14" s="599">
        <f t="shared" si="0"/>
        <v>0.83099999999999996</v>
      </c>
      <c r="K14" s="599">
        <f t="shared" si="0"/>
        <v>1.8000000000000002E-2</v>
      </c>
      <c r="L14" s="599">
        <f t="shared" si="0"/>
        <v>-0.81299999999999994</v>
      </c>
    </row>
    <row r="15" spans="2:14" s="365" customFormat="1" ht="16">
      <c r="B15" s="366">
        <v>5</v>
      </c>
      <c r="C15" s="367" t="s">
        <v>182</v>
      </c>
      <c r="D15" s="599">
        <v>0</v>
      </c>
      <c r="E15" s="599">
        <v>0</v>
      </c>
      <c r="F15" s="588">
        <f>E15-D15</f>
        <v>0</v>
      </c>
      <c r="G15" s="604"/>
      <c r="H15" s="588">
        <f>'F4'!K22*25%</f>
        <v>3.6249999999999998E-4</v>
      </c>
      <c r="I15" s="588">
        <f>H15-G15</f>
        <v>3.6249999999999998E-4</v>
      </c>
      <c r="J15" s="588"/>
      <c r="K15" s="588"/>
      <c r="L15" s="588">
        <f>K15-J15</f>
        <v>0</v>
      </c>
    </row>
    <row r="16" spans="2:14" s="365" customFormat="1" ht="16">
      <c r="B16" s="366">
        <v>6</v>
      </c>
      <c r="C16" s="364" t="s">
        <v>3</v>
      </c>
      <c r="D16" s="588">
        <f>D11+D14-D15</f>
        <v>138.43</v>
      </c>
      <c r="E16" s="588">
        <f t="shared" ref="E16:L16" si="2">E11+E14-E15</f>
        <v>138.42081873000001</v>
      </c>
      <c r="F16" s="588">
        <f t="shared" si="2"/>
        <v>-9.181270000006847E-3</v>
      </c>
      <c r="G16" s="588">
        <f t="shared" si="2"/>
        <v>138.43</v>
      </c>
      <c r="H16" s="588">
        <f t="shared" si="2"/>
        <v>138.42081293000001</v>
      </c>
      <c r="I16" s="588">
        <f t="shared" ref="I16" si="3">I11+I14-I15</f>
        <v>-9.1870699999991312E-3</v>
      </c>
      <c r="J16" s="588">
        <f t="shared" si="2"/>
        <v>139.261</v>
      </c>
      <c r="K16" s="588">
        <f t="shared" si="2"/>
        <v>138.43881293000001</v>
      </c>
      <c r="L16" s="588">
        <f t="shared" si="2"/>
        <v>-0.8221870699999958</v>
      </c>
    </row>
    <row r="17" spans="2:13" s="365" customFormat="1">
      <c r="B17" s="366"/>
      <c r="C17" s="364"/>
      <c r="D17" s="588"/>
      <c r="E17" s="588"/>
      <c r="F17" s="588"/>
      <c r="G17" s="624"/>
      <c r="H17" s="588"/>
      <c r="I17" s="588"/>
      <c r="J17" s="588"/>
      <c r="K17" s="588"/>
      <c r="L17" s="588"/>
    </row>
    <row r="18" spans="2:13" s="365" customFormat="1" ht="16">
      <c r="B18" s="366"/>
      <c r="C18" s="368" t="s">
        <v>5</v>
      </c>
      <c r="D18" s="588"/>
      <c r="E18" s="588"/>
      <c r="F18" s="588"/>
      <c r="G18" s="624"/>
      <c r="H18" s="588"/>
      <c r="I18" s="588"/>
      <c r="J18" s="588"/>
      <c r="K18" s="588"/>
      <c r="L18" s="588"/>
    </row>
    <row r="19" spans="2:13" s="365" customFormat="1" ht="16">
      <c r="B19" s="366">
        <v>7</v>
      </c>
      <c r="C19" s="364" t="s">
        <v>6</v>
      </c>
      <c r="D19" s="599">
        <f>D11*$M$19-0.01</f>
        <v>21.423399999999997</v>
      </c>
      <c r="E19" s="599">
        <f t="shared" ref="E19:L19" si="4">E11*$M$19</f>
        <v>21.434043019049998</v>
      </c>
      <c r="F19" s="599">
        <f t="shared" si="4"/>
        <v>6.4301904999894074E-4</v>
      </c>
      <c r="G19" s="599">
        <f t="shared" si="4"/>
        <v>21.45665</v>
      </c>
      <c r="H19" s="599">
        <f t="shared" si="4"/>
        <v>21.455226903150002</v>
      </c>
      <c r="I19" s="599">
        <f t="shared" ref="I19" si="5">I11*$M$19</f>
        <v>-1.4230968499998652E-3</v>
      </c>
      <c r="J19" s="599">
        <f t="shared" si="4"/>
        <v>21.45665</v>
      </c>
      <c r="K19" s="599">
        <f t="shared" si="4"/>
        <v>21.455226004150003</v>
      </c>
      <c r="L19" s="599">
        <f t="shared" si="4"/>
        <v>-1.4239958499993577E-3</v>
      </c>
      <c r="M19" s="601">
        <v>0.155</v>
      </c>
    </row>
    <row r="20" spans="2:13" s="365" customFormat="1" ht="16">
      <c r="B20" s="366">
        <v>8</v>
      </c>
      <c r="C20" s="364" t="s">
        <v>180</v>
      </c>
      <c r="D20" s="588">
        <f>(D14-D15)*$M$19/2</f>
        <v>1.1625E-2</v>
      </c>
      <c r="E20" s="588">
        <f t="shared" ref="E20:L20" si="6">(E14-E15)*$M$19/2</f>
        <v>1.0591942049999999E-2</v>
      </c>
      <c r="F20" s="588">
        <f t="shared" si="6"/>
        <v>-1.033057950000001E-3</v>
      </c>
      <c r="G20" s="588">
        <f t="shared" si="6"/>
        <v>0</v>
      </c>
      <c r="H20" s="588">
        <f t="shared" si="6"/>
        <v>-4.494999999999983E-7</v>
      </c>
      <c r="I20" s="588">
        <f t="shared" ref="I20" si="7">(I14-I15)*$M$19/2</f>
        <v>-4.494999999999983E-7</v>
      </c>
      <c r="J20" s="588">
        <f t="shared" si="6"/>
        <v>6.4402500000000001E-2</v>
      </c>
      <c r="K20" s="588">
        <f t="shared" si="6"/>
        <v>1.3950000000000002E-3</v>
      </c>
      <c r="L20" s="588">
        <f t="shared" si="6"/>
        <v>-6.3007499999999994E-2</v>
      </c>
    </row>
    <row r="21" spans="2:13" s="365" customFormat="1" ht="16">
      <c r="B21" s="366">
        <v>9</v>
      </c>
      <c r="C21" s="368" t="s">
        <v>7</v>
      </c>
      <c r="D21" s="600">
        <f>SUM(D19:D20)</f>
        <v>21.435024999999996</v>
      </c>
      <c r="E21" s="600">
        <f t="shared" ref="E21:L21" si="8">SUM(E19:E20)</f>
        <v>21.444634961099997</v>
      </c>
      <c r="F21" s="600">
        <f t="shared" si="8"/>
        <v>-3.9003890000106022E-4</v>
      </c>
      <c r="G21" s="600">
        <f t="shared" si="8"/>
        <v>21.45665</v>
      </c>
      <c r="H21" s="600">
        <f t="shared" si="8"/>
        <v>21.455226453650003</v>
      </c>
      <c r="I21" s="600">
        <f t="shared" ref="I21" si="9">SUM(I19:I20)</f>
        <v>-1.4235463499998652E-3</v>
      </c>
      <c r="J21" s="600">
        <f t="shared" si="8"/>
        <v>21.5210525</v>
      </c>
      <c r="K21" s="600">
        <f t="shared" si="8"/>
        <v>21.456621004150001</v>
      </c>
      <c r="L21" s="600">
        <f t="shared" si="8"/>
        <v>-6.4431495849999354E-2</v>
      </c>
    </row>
    <row r="23" spans="2:13">
      <c r="B23" s="275" t="s">
        <v>736</v>
      </c>
    </row>
    <row r="26" spans="2:13" ht="15.75" customHeight="1">
      <c r="B26" s="1159" t="str">
        <f>B2</f>
        <v>Jaigad Power Transco Ltd</v>
      </c>
      <c r="C26" s="1159"/>
      <c r="D26" s="1159"/>
      <c r="E26" s="1159"/>
      <c r="F26" s="1159"/>
      <c r="G26" s="1159"/>
      <c r="H26" s="1159"/>
      <c r="I26" s="1159"/>
      <c r="J26" s="598"/>
      <c r="K26" s="598"/>
      <c r="L26" s="598"/>
    </row>
    <row r="27" spans="2:13" ht="15.75" customHeight="1">
      <c r="B27" s="1159" t="s">
        <v>186</v>
      </c>
      <c r="C27" s="1159"/>
      <c r="D27" s="1159"/>
      <c r="E27" s="1159"/>
      <c r="F27" s="1159"/>
      <c r="G27" s="1159"/>
      <c r="H27" s="1159"/>
      <c r="I27" s="1159"/>
      <c r="J27" s="598"/>
      <c r="K27" s="598"/>
      <c r="L27" s="598"/>
    </row>
    <row r="28" spans="2:13" ht="15.75" customHeight="1">
      <c r="B28" s="1159" t="s">
        <v>754</v>
      </c>
      <c r="C28" s="1159"/>
      <c r="D28" s="1159"/>
      <c r="E28" s="1159"/>
      <c r="F28" s="1159"/>
      <c r="G28" s="1159"/>
      <c r="H28" s="1159"/>
      <c r="I28" s="1159"/>
      <c r="J28" s="598"/>
      <c r="K28" s="598"/>
      <c r="L28" s="598"/>
    </row>
    <row r="29" spans="2:13">
      <c r="B29" s="298"/>
      <c r="C29" s="298"/>
      <c r="D29" s="298"/>
      <c r="E29" s="298"/>
      <c r="F29" s="298"/>
      <c r="G29" s="298"/>
      <c r="H29" s="298"/>
      <c r="I29" s="298"/>
      <c r="J29" s="298"/>
      <c r="K29" s="298"/>
      <c r="L29" s="298"/>
    </row>
    <row r="30" spans="2:13">
      <c r="B30" s="298"/>
      <c r="C30" s="298"/>
      <c r="D30" s="298"/>
      <c r="E30" s="298"/>
      <c r="F30" s="298"/>
      <c r="G30" s="298"/>
      <c r="H30" s="296" t="s">
        <v>33</v>
      </c>
      <c r="I30" s="298"/>
      <c r="J30" s="298"/>
      <c r="K30" s="298"/>
      <c r="L30" s="298"/>
    </row>
    <row r="31" spans="2:13" ht="14" customHeight="1">
      <c r="B31" s="1071" t="s">
        <v>240</v>
      </c>
      <c r="C31" s="1071" t="s">
        <v>4</v>
      </c>
      <c r="D31" s="987" t="s">
        <v>174</v>
      </c>
      <c r="E31" s="988"/>
      <c r="F31" s="988"/>
      <c r="G31" s="988"/>
      <c r="H31" s="989"/>
      <c r="I31" s="1071" t="s">
        <v>37</v>
      </c>
      <c r="J31" s="298"/>
      <c r="K31" s="298"/>
      <c r="L31" s="298"/>
    </row>
    <row r="32" spans="2:13" ht="16">
      <c r="B32" s="1072"/>
      <c r="C32" s="1072"/>
      <c r="D32" s="362" t="s">
        <v>540</v>
      </c>
      <c r="E32" s="362" t="s">
        <v>541</v>
      </c>
      <c r="F32" s="362" t="s">
        <v>542</v>
      </c>
      <c r="G32" s="362" t="s">
        <v>543</v>
      </c>
      <c r="H32" s="362" t="s">
        <v>544</v>
      </c>
      <c r="I32" s="1072"/>
      <c r="J32" s="298"/>
      <c r="K32" s="298"/>
      <c r="L32" s="298"/>
    </row>
    <row r="33" spans="2:13" ht="16">
      <c r="B33" s="1152"/>
      <c r="C33" s="1152"/>
      <c r="D33" s="362" t="s">
        <v>86</v>
      </c>
      <c r="E33" s="362" t="s">
        <v>86</v>
      </c>
      <c r="F33" s="362" t="s">
        <v>86</v>
      </c>
      <c r="G33" s="362" t="s">
        <v>86</v>
      </c>
      <c r="H33" s="362" t="s">
        <v>86</v>
      </c>
      <c r="I33" s="1152"/>
      <c r="J33" s="298"/>
      <c r="K33" s="298"/>
      <c r="L33" s="298"/>
    </row>
    <row r="34" spans="2:13" ht="16">
      <c r="B34" s="369">
        <v>1</v>
      </c>
      <c r="C34" s="370" t="s">
        <v>2</v>
      </c>
      <c r="D34" s="709">
        <f>K16</f>
        <v>138.43881293000001</v>
      </c>
      <c r="E34" s="709">
        <f>D38</f>
        <v>139.26981293</v>
      </c>
      <c r="F34" s="709">
        <f t="shared" ref="F34:H34" si="10">E38</f>
        <v>139.27581293</v>
      </c>
      <c r="G34" s="709">
        <f t="shared" si="10"/>
        <v>139.28181293</v>
      </c>
      <c r="H34" s="709">
        <f t="shared" si="10"/>
        <v>139.28781293</v>
      </c>
      <c r="I34" s="310"/>
      <c r="J34" s="298"/>
      <c r="K34" s="298"/>
      <c r="L34" s="298"/>
    </row>
    <row r="35" spans="2:13" ht="16">
      <c r="B35" s="369">
        <f>B34+1</f>
        <v>2</v>
      </c>
      <c r="C35" s="370" t="s">
        <v>569</v>
      </c>
      <c r="D35" s="934">
        <f>'F3'!O14</f>
        <v>2.77</v>
      </c>
      <c r="E35" s="934">
        <f>'F3'!P14</f>
        <v>0.02</v>
      </c>
      <c r="F35" s="934">
        <f>'F3'!Q14</f>
        <v>0.02</v>
      </c>
      <c r="G35" s="934">
        <f>'F3'!R14</f>
        <v>0.02</v>
      </c>
      <c r="H35" s="934">
        <f>'F3'!S14</f>
        <v>0.02</v>
      </c>
      <c r="I35" s="310"/>
      <c r="J35" s="298"/>
      <c r="K35" s="298"/>
      <c r="L35" s="298"/>
    </row>
    <row r="36" spans="2:13" ht="16">
      <c r="B36" s="369">
        <f t="shared" ref="B36:B45" si="11">B35+1</f>
        <v>3</v>
      </c>
      <c r="C36" s="370" t="s">
        <v>635</v>
      </c>
      <c r="D36" s="897">
        <f>D35*30%</f>
        <v>0.83099999999999996</v>
      </c>
      <c r="E36" s="897">
        <f t="shared" ref="E36:H36" si="12">E35*30%</f>
        <v>6.0000000000000001E-3</v>
      </c>
      <c r="F36" s="897">
        <f t="shared" si="12"/>
        <v>6.0000000000000001E-3</v>
      </c>
      <c r="G36" s="897">
        <f t="shared" si="12"/>
        <v>6.0000000000000001E-3</v>
      </c>
      <c r="H36" s="897">
        <f t="shared" si="12"/>
        <v>6.0000000000000001E-3</v>
      </c>
      <c r="I36" s="310"/>
      <c r="J36" s="298"/>
      <c r="K36" s="298"/>
      <c r="L36" s="298"/>
    </row>
    <row r="37" spans="2:13" ht="16">
      <c r="B37" s="371">
        <f t="shared" si="11"/>
        <v>4</v>
      </c>
      <c r="C37" s="372" t="s">
        <v>182</v>
      </c>
      <c r="D37" s="935"/>
      <c r="E37" s="935"/>
      <c r="F37" s="935"/>
      <c r="G37" s="935"/>
      <c r="H37" s="935"/>
      <c r="I37" s="310"/>
      <c r="J37" s="298"/>
      <c r="K37" s="298"/>
      <c r="L37" s="298"/>
    </row>
    <row r="38" spans="2:13" ht="16">
      <c r="B38" s="369">
        <f t="shared" si="11"/>
        <v>5</v>
      </c>
      <c r="C38" s="370" t="s">
        <v>3</v>
      </c>
      <c r="D38" s="936">
        <f>D34+D36</f>
        <v>139.26981293</v>
      </c>
      <c r="E38" s="936">
        <f t="shared" ref="E38:H38" si="13">E34+E36</f>
        <v>139.27581293</v>
      </c>
      <c r="F38" s="936">
        <f t="shared" si="13"/>
        <v>139.28181293</v>
      </c>
      <c r="G38" s="936">
        <f t="shared" si="13"/>
        <v>139.28781293</v>
      </c>
      <c r="H38" s="936">
        <f t="shared" si="13"/>
        <v>139.29381293</v>
      </c>
      <c r="I38" s="310"/>
      <c r="J38" s="298"/>
      <c r="K38" s="298"/>
      <c r="L38" s="298"/>
    </row>
    <row r="39" spans="2:13">
      <c r="B39" s="369"/>
      <c r="C39" s="370"/>
      <c r="D39" s="935"/>
      <c r="E39" s="935"/>
      <c r="F39" s="935"/>
      <c r="G39" s="935"/>
      <c r="H39" s="935"/>
      <c r="I39" s="310"/>
      <c r="J39" s="298"/>
      <c r="K39" s="298"/>
      <c r="L39" s="298"/>
    </row>
    <row r="40" spans="2:13" ht="16">
      <c r="B40" s="369"/>
      <c r="C40" s="373" t="s">
        <v>570</v>
      </c>
      <c r="D40" s="935"/>
      <c r="E40" s="935"/>
      <c r="F40" s="935"/>
      <c r="G40" s="935"/>
      <c r="H40" s="935"/>
      <c r="I40" s="310"/>
      <c r="J40" s="298"/>
      <c r="K40" s="298"/>
      <c r="L40" s="298"/>
    </row>
    <row r="41" spans="2:13" ht="16">
      <c r="B41" s="369">
        <v>6</v>
      </c>
      <c r="C41" s="370" t="s">
        <v>579</v>
      </c>
      <c r="D41" s="937">
        <v>0.14000000000000001</v>
      </c>
      <c r="E41" s="937">
        <f>D41</f>
        <v>0.14000000000000001</v>
      </c>
      <c r="F41" s="937">
        <f t="shared" ref="F41:H41" si="14">E41</f>
        <v>0.14000000000000001</v>
      </c>
      <c r="G41" s="937">
        <f t="shared" si="14"/>
        <v>0.14000000000000001</v>
      </c>
      <c r="H41" s="937">
        <f t="shared" si="14"/>
        <v>0.14000000000000001</v>
      </c>
      <c r="I41" s="310"/>
      <c r="J41" s="298"/>
      <c r="K41" s="298"/>
      <c r="L41" s="298"/>
      <c r="M41" s="710"/>
    </row>
    <row r="42" spans="2:13" ht="16">
      <c r="B42" s="369">
        <v>7</v>
      </c>
      <c r="C42" s="370" t="s">
        <v>616</v>
      </c>
      <c r="D42" s="938">
        <f ca="1">'F9'!E97</f>
        <v>0.17883273815097447</v>
      </c>
      <c r="E42" s="938">
        <f ca="1">'F9'!F97</f>
        <v>0.17883273815097447</v>
      </c>
      <c r="F42" s="938">
        <f ca="1">'F9'!G97</f>
        <v>0.17883273815097447</v>
      </c>
      <c r="G42" s="938">
        <f ca="1">'F9'!H97</f>
        <v>0.17883273815097447</v>
      </c>
      <c r="H42" s="938">
        <f ca="1">'F9'!I97</f>
        <v>0.17883273815097447</v>
      </c>
      <c r="I42" s="310"/>
      <c r="J42" s="298"/>
      <c r="K42" s="298"/>
      <c r="L42" s="298"/>
    </row>
    <row r="43" spans="2:13" ht="16">
      <c r="B43" s="369">
        <v>8</v>
      </c>
      <c r="C43" s="370" t="s">
        <v>571</v>
      </c>
      <c r="D43" s="936">
        <f ca="1">D34*D42</f>
        <v>24.757391982642432</v>
      </c>
      <c r="E43" s="936">
        <f t="shared" ref="E43:H43" ca="1" si="15">E34*E42</f>
        <v>24.90600198804589</v>
      </c>
      <c r="F43" s="936">
        <f t="shared" ca="1" si="15"/>
        <v>24.907074984474797</v>
      </c>
      <c r="G43" s="936">
        <f t="shared" ca="1" si="15"/>
        <v>24.908147980903699</v>
      </c>
      <c r="H43" s="936">
        <f t="shared" ca="1" si="15"/>
        <v>24.909220977332605</v>
      </c>
      <c r="I43" s="310"/>
      <c r="J43" s="298"/>
      <c r="K43" s="298"/>
      <c r="L43" s="298"/>
    </row>
    <row r="44" spans="2:13" ht="16">
      <c r="B44" s="369">
        <f t="shared" si="11"/>
        <v>9</v>
      </c>
      <c r="C44" s="370" t="s">
        <v>572</v>
      </c>
      <c r="D44" s="936">
        <f ca="1">D36*D42/2</f>
        <v>7.4305002701729891E-2</v>
      </c>
      <c r="E44" s="936">
        <f t="shared" ref="E44:H44" ca="1" si="16">E36*E42/2</f>
        <v>5.3649821445292346E-4</v>
      </c>
      <c r="F44" s="936">
        <f t="shared" ca="1" si="16"/>
        <v>5.3649821445292346E-4</v>
      </c>
      <c r="G44" s="936">
        <f t="shared" ca="1" si="16"/>
        <v>5.3649821445292346E-4</v>
      </c>
      <c r="H44" s="936">
        <f t="shared" ca="1" si="16"/>
        <v>5.3649821445292346E-4</v>
      </c>
      <c r="I44" s="310"/>
      <c r="J44" s="298"/>
      <c r="K44" s="298"/>
      <c r="L44" s="298"/>
    </row>
    <row r="45" spans="2:13" ht="16">
      <c r="B45" s="369">
        <f t="shared" si="11"/>
        <v>10</v>
      </c>
      <c r="C45" s="373" t="s">
        <v>573</v>
      </c>
      <c r="D45" s="939">
        <f ca="1">D43+D44</f>
        <v>24.831696985344163</v>
      </c>
      <c r="E45" s="939">
        <f t="shared" ref="E45:H45" ca="1" si="17">E43+E44</f>
        <v>24.906538486260342</v>
      </c>
      <c r="F45" s="939">
        <f t="shared" ca="1" si="17"/>
        <v>24.907611482689248</v>
      </c>
      <c r="G45" s="939">
        <f t="shared" ca="1" si="17"/>
        <v>24.908684479118151</v>
      </c>
      <c r="H45" s="939">
        <f t="shared" ca="1" si="17"/>
        <v>24.909757475547057</v>
      </c>
      <c r="I45" s="310"/>
      <c r="J45" s="298"/>
      <c r="K45" s="298"/>
      <c r="L45" s="298"/>
    </row>
    <row r="46" spans="2:13">
      <c r="B46" s="310"/>
      <c r="C46" s="310"/>
      <c r="D46" s="310"/>
      <c r="E46" s="310"/>
      <c r="F46" s="310"/>
      <c r="G46" s="310"/>
      <c r="H46" s="310"/>
      <c r="I46" s="310"/>
      <c r="J46" s="298"/>
      <c r="K46" s="298"/>
      <c r="L46" s="298"/>
    </row>
    <row r="47" spans="2:13">
      <c r="B47" s="369"/>
      <c r="C47" s="370"/>
      <c r="D47" s="310"/>
      <c r="E47" s="310"/>
      <c r="F47" s="310"/>
      <c r="G47" s="310"/>
      <c r="H47" s="310"/>
      <c r="I47" s="310"/>
      <c r="J47" s="298"/>
      <c r="K47" s="298"/>
      <c r="L47" s="298"/>
    </row>
    <row r="48" spans="2:13">
      <c r="B48" s="298"/>
      <c r="C48" s="298"/>
      <c r="D48" s="298"/>
      <c r="E48" s="298"/>
      <c r="F48" s="298"/>
      <c r="G48" s="298"/>
      <c r="H48" s="298"/>
      <c r="I48" s="298"/>
      <c r="J48" s="298"/>
      <c r="K48" s="298"/>
      <c r="L48" s="298"/>
    </row>
    <row r="49" spans="2:12" ht="33.75" customHeight="1">
      <c r="B49" s="298"/>
      <c r="C49" s="1158" t="s">
        <v>739</v>
      </c>
      <c r="D49" s="1158"/>
      <c r="E49" s="1158"/>
      <c r="F49" s="1158"/>
      <c r="G49" s="1158"/>
      <c r="H49" s="1158"/>
      <c r="I49" s="1158"/>
      <c r="J49" s="1158"/>
      <c r="K49" s="1158"/>
      <c r="L49" s="1158"/>
    </row>
    <row r="50" spans="2:12">
      <c r="B50" s="298"/>
      <c r="C50" s="298" t="s">
        <v>644</v>
      </c>
      <c r="D50" s="298"/>
      <c r="E50" s="298"/>
      <c r="F50" s="298"/>
      <c r="G50" s="298"/>
      <c r="H50" s="298"/>
      <c r="I50" s="298"/>
      <c r="J50" s="298"/>
      <c r="K50" s="298"/>
      <c r="L50" s="298"/>
    </row>
    <row r="51" spans="2:12">
      <c r="C51" s="363" t="s">
        <v>923</v>
      </c>
    </row>
  </sheetData>
  <mergeCells count="16">
    <mergeCell ref="B2:L2"/>
    <mergeCell ref="B3:L3"/>
    <mergeCell ref="B4:L4"/>
    <mergeCell ref="B26:I26"/>
    <mergeCell ref="B27:I27"/>
    <mergeCell ref="B28:I28"/>
    <mergeCell ref="C8:C10"/>
    <mergeCell ref="B8:B10"/>
    <mergeCell ref="G8:I8"/>
    <mergeCell ref="J8:L8"/>
    <mergeCell ref="D8:F8"/>
    <mergeCell ref="C49:L49"/>
    <mergeCell ref="B31:B33"/>
    <mergeCell ref="C31:C33"/>
    <mergeCell ref="D31:H31"/>
    <mergeCell ref="I31:I33"/>
  </mergeCells>
  <phoneticPr fontId="0" type="noConversion"/>
  <pageMargins left="0.43307086614173229" right="0.43307086614173229" top="0.43307086614173229" bottom="0.43307086614173229" header="0.31496062992125984" footer="0.31496062992125984"/>
  <pageSetup paperSize="9" scale="56" orientation="landscape" r:id="rId1"/>
  <headerFoot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T24"/>
  <sheetViews>
    <sheetView showGridLines="0" view="pageBreakPreview" zoomScale="70" zoomScaleNormal="75" zoomScaleSheetLayoutView="70" workbookViewId="0"/>
  </sheetViews>
  <sheetFormatPr baseColWidth="10" defaultColWidth="9.1640625" defaultRowHeight="15"/>
  <cols>
    <col min="1" max="1" width="4.1640625" style="5" customWidth="1"/>
    <col min="2" max="2" width="6.33203125" style="5" customWidth="1"/>
    <col min="3" max="3" width="57.5" style="5" customWidth="1"/>
    <col min="4" max="19" width="14.83203125" style="5" customWidth="1"/>
    <col min="20" max="20" width="15.6640625" style="5" hidden="1" customWidth="1"/>
    <col min="21" max="16384" width="9.1640625" style="5"/>
  </cols>
  <sheetData>
    <row r="1" spans="2:20">
      <c r="B1" s="6"/>
    </row>
    <row r="2" spans="2:20">
      <c r="B2" s="1043" t="str">
        <f>Index!B2</f>
        <v>Jaigad Power Transco Ltd</v>
      </c>
      <c r="C2" s="1042"/>
      <c r="D2" s="1042"/>
      <c r="E2" s="1042"/>
      <c r="F2" s="1042"/>
      <c r="G2" s="1042"/>
      <c r="H2" s="1042"/>
      <c r="I2" s="1042"/>
      <c r="J2" s="1042"/>
      <c r="K2" s="1042"/>
      <c r="L2" s="1042"/>
      <c r="M2" s="1042"/>
      <c r="N2" s="1042"/>
      <c r="O2" s="1042"/>
      <c r="P2" s="1042"/>
      <c r="Q2" s="1042"/>
      <c r="R2" s="1042"/>
      <c r="S2" s="1042"/>
      <c r="T2" s="1042"/>
    </row>
    <row r="3" spans="2:20">
      <c r="B3" s="1043" t="s">
        <v>186</v>
      </c>
      <c r="C3" s="1042"/>
      <c r="D3" s="1042"/>
      <c r="E3" s="1042"/>
      <c r="F3" s="1042"/>
      <c r="G3" s="1042"/>
      <c r="H3" s="1042"/>
      <c r="I3" s="1042"/>
      <c r="J3" s="1042"/>
      <c r="K3" s="1042"/>
      <c r="L3" s="1042"/>
      <c r="M3" s="1042"/>
      <c r="N3" s="1042"/>
      <c r="O3" s="1042"/>
      <c r="P3" s="1042"/>
      <c r="Q3" s="1042"/>
      <c r="R3" s="1042"/>
      <c r="S3" s="1042"/>
      <c r="T3" s="1042"/>
    </row>
    <row r="4" spans="2:20">
      <c r="B4" s="1161" t="s">
        <v>636</v>
      </c>
      <c r="C4" s="1042"/>
      <c r="D4" s="1042"/>
      <c r="E4" s="1042"/>
      <c r="F4" s="1042"/>
      <c r="G4" s="1042"/>
      <c r="H4" s="1042"/>
      <c r="I4" s="1042"/>
      <c r="J4" s="1042"/>
      <c r="K4" s="1042"/>
      <c r="L4" s="1042"/>
      <c r="M4" s="1042"/>
      <c r="N4" s="1042"/>
      <c r="O4" s="1042"/>
      <c r="P4" s="1042"/>
      <c r="Q4" s="1042"/>
      <c r="R4" s="1042"/>
      <c r="S4" s="1042"/>
      <c r="T4" s="1042"/>
    </row>
    <row r="5" spans="2:20">
      <c r="B5" s="7"/>
      <c r="C5" s="7"/>
    </row>
    <row r="6" spans="2:20">
      <c r="C6" s="312"/>
      <c r="J6" s="312"/>
      <c r="L6" s="8"/>
      <c r="S6" s="8" t="s">
        <v>33</v>
      </c>
    </row>
    <row r="7" spans="2:20" s="275" customFormat="1">
      <c r="B7" s="980" t="s">
        <v>226</v>
      </c>
      <c r="C7" s="985" t="s">
        <v>4</v>
      </c>
      <c r="D7" s="987" t="s">
        <v>213</v>
      </c>
      <c r="E7" s="988"/>
      <c r="F7" s="989"/>
      <c r="G7" s="987" t="s">
        <v>214</v>
      </c>
      <c r="H7" s="988"/>
      <c r="I7" s="989"/>
      <c r="J7" s="987" t="s">
        <v>215</v>
      </c>
      <c r="K7" s="988"/>
      <c r="L7" s="988"/>
      <c r="M7" s="988"/>
      <c r="N7" s="989"/>
      <c r="O7" s="978" t="s">
        <v>78</v>
      </c>
      <c r="P7" s="978"/>
      <c r="Q7" s="978"/>
      <c r="R7" s="978"/>
      <c r="S7" s="978"/>
      <c r="T7" s="978" t="s">
        <v>37</v>
      </c>
    </row>
    <row r="8" spans="2:20" s="275" customFormat="1" ht="42.5" customHeight="1">
      <c r="B8" s="981"/>
      <c r="C8" s="985"/>
      <c r="D8" s="362" t="s">
        <v>313</v>
      </c>
      <c r="E8" s="362" t="s">
        <v>311</v>
      </c>
      <c r="F8" s="362" t="s">
        <v>312</v>
      </c>
      <c r="G8" s="362" t="s">
        <v>313</v>
      </c>
      <c r="H8" s="362" t="s">
        <v>311</v>
      </c>
      <c r="I8" s="362" t="s">
        <v>312</v>
      </c>
      <c r="J8" s="362" t="s">
        <v>313</v>
      </c>
      <c r="K8" s="362" t="s">
        <v>314</v>
      </c>
      <c r="L8" s="362" t="s">
        <v>315</v>
      </c>
      <c r="M8" s="362" t="s">
        <v>58</v>
      </c>
      <c r="N8" s="362" t="s">
        <v>316</v>
      </c>
      <c r="O8" s="362" t="s">
        <v>540</v>
      </c>
      <c r="P8" s="362" t="s">
        <v>541</v>
      </c>
      <c r="Q8" s="362" t="s">
        <v>542</v>
      </c>
      <c r="R8" s="362" t="s">
        <v>543</v>
      </c>
      <c r="S8" s="362" t="s">
        <v>544</v>
      </c>
      <c r="T8" s="978"/>
    </row>
    <row r="9" spans="2:20" s="275" customFormat="1" ht="16">
      <c r="B9" s="998"/>
      <c r="C9" s="999"/>
      <c r="D9" s="362" t="s">
        <v>56</v>
      </c>
      <c r="E9" s="362" t="s">
        <v>57</v>
      </c>
      <c r="F9" s="362" t="s">
        <v>317</v>
      </c>
      <c r="G9" s="362" t="s">
        <v>318</v>
      </c>
      <c r="H9" s="362" t="s">
        <v>319</v>
      </c>
      <c r="I9" s="362" t="s">
        <v>545</v>
      </c>
      <c r="J9" s="362" t="s">
        <v>546</v>
      </c>
      <c r="K9" s="362" t="s">
        <v>547</v>
      </c>
      <c r="L9" s="362" t="s">
        <v>548</v>
      </c>
      <c r="M9" s="362" t="s">
        <v>549</v>
      </c>
      <c r="N9" s="362" t="s">
        <v>550</v>
      </c>
      <c r="O9" s="362" t="s">
        <v>86</v>
      </c>
      <c r="P9" s="362" t="s">
        <v>86</v>
      </c>
      <c r="Q9" s="362" t="s">
        <v>86</v>
      </c>
      <c r="R9" s="362" t="s">
        <v>86</v>
      </c>
      <c r="S9" s="362" t="s">
        <v>86</v>
      </c>
      <c r="T9" s="979"/>
    </row>
    <row r="10" spans="2:20" s="8" customFormat="1" ht="16">
      <c r="B10" s="315">
        <v>1</v>
      </c>
      <c r="C10" s="316" t="s">
        <v>216</v>
      </c>
      <c r="D10" s="588"/>
      <c r="E10" s="588"/>
      <c r="F10" s="588"/>
      <c r="G10" s="588"/>
      <c r="H10" s="588"/>
      <c r="I10" s="588"/>
      <c r="J10" s="588"/>
      <c r="K10" s="588"/>
      <c r="L10" s="588"/>
      <c r="M10" s="588"/>
      <c r="N10" s="588"/>
      <c r="O10" s="588"/>
      <c r="P10" s="588"/>
      <c r="Q10" s="602"/>
      <c r="R10" s="602"/>
      <c r="S10" s="602"/>
      <c r="T10" s="318"/>
    </row>
    <row r="11" spans="2:20" s="8" customFormat="1" ht="16">
      <c r="B11" s="315">
        <v>2</v>
      </c>
      <c r="C11" s="316" t="s">
        <v>217</v>
      </c>
      <c r="D11" s="588"/>
      <c r="E11" s="588"/>
      <c r="F11" s="588"/>
      <c r="G11" s="588"/>
      <c r="H11" s="588"/>
      <c r="I11" s="588"/>
      <c r="J11" s="588"/>
      <c r="K11" s="588"/>
      <c r="L11" s="588"/>
      <c r="M11" s="588"/>
      <c r="N11" s="588"/>
      <c r="O11" s="588"/>
      <c r="P11" s="588"/>
      <c r="Q11" s="602"/>
      <c r="R11" s="602"/>
      <c r="S11" s="602"/>
      <c r="T11" s="318"/>
    </row>
    <row r="12" spans="2:20" s="8" customFormat="1" ht="16">
      <c r="B12" s="315">
        <v>3</v>
      </c>
      <c r="C12" s="316" t="s">
        <v>218</v>
      </c>
      <c r="D12" s="588">
        <v>0.68</v>
      </c>
      <c r="E12" s="588">
        <f>'G Sec Investment'!H17</f>
        <v>0.68292399999999986</v>
      </c>
      <c r="F12" s="588">
        <f>E12-D12</f>
        <v>2.9239999999998156E-3</v>
      </c>
      <c r="G12" s="588">
        <v>0.79</v>
      </c>
      <c r="H12" s="588">
        <f>'G Sec Investment'!I17</f>
        <v>0.7973318869799999</v>
      </c>
      <c r="I12" s="588">
        <f>H12-G12</f>
        <v>7.3318869799998687E-3</v>
      </c>
      <c r="J12" s="588">
        <v>0.91</v>
      </c>
      <c r="K12" s="588">
        <f>M12/2</f>
        <v>0.45393302436579375</v>
      </c>
      <c r="L12" s="588">
        <f>M12/2</f>
        <v>0.45393302436579375</v>
      </c>
      <c r="M12" s="588">
        <f>'G Sec Investment'!J17</f>
        <v>0.90786604873158749</v>
      </c>
      <c r="N12" s="588">
        <f>M12-L12</f>
        <v>0.45393302436579375</v>
      </c>
      <c r="O12" s="588">
        <f>'G Sec Investment'!K17</f>
        <v>1.0143825730556375</v>
      </c>
      <c r="P12" s="588">
        <f>'G Sec Investment'!L17</f>
        <v>1.1209048696605626</v>
      </c>
      <c r="Q12" s="588">
        <f>'G Sec Investment'!M17</f>
        <v>1.2277006150154874</v>
      </c>
      <c r="R12" s="588">
        <f>'G Sec Investment'!N17</f>
        <v>1.3347659441204125</v>
      </c>
      <c r="S12" s="588">
        <f>'G Sec Investment'!O17</f>
        <v>1.4418351382253376</v>
      </c>
      <c r="T12" s="318"/>
    </row>
    <row r="13" spans="2:20" s="8" customFormat="1" ht="16">
      <c r="B13" s="315">
        <v>4</v>
      </c>
      <c r="C13" s="316" t="s">
        <v>219</v>
      </c>
      <c r="D13" s="588"/>
      <c r="E13" s="588"/>
      <c r="F13" s="588"/>
      <c r="G13" s="588"/>
      <c r="H13" s="588"/>
      <c r="I13" s="588"/>
      <c r="J13" s="588"/>
      <c r="K13" s="588"/>
      <c r="L13" s="588"/>
      <c r="M13" s="588"/>
      <c r="N13" s="588"/>
      <c r="O13" s="588"/>
      <c r="P13" s="588"/>
      <c r="Q13" s="588"/>
      <c r="R13" s="588"/>
      <c r="S13" s="588"/>
      <c r="T13" s="318"/>
    </row>
    <row r="14" spans="2:20" s="8" customFormat="1">
      <c r="B14" s="315">
        <v>5</v>
      </c>
      <c r="C14" s="319" t="s">
        <v>221</v>
      </c>
      <c r="D14" s="588"/>
      <c r="E14" s="588"/>
      <c r="F14" s="588"/>
      <c r="G14" s="588"/>
      <c r="H14" s="588"/>
      <c r="I14" s="588"/>
      <c r="J14" s="588"/>
      <c r="K14" s="588"/>
      <c r="L14" s="588"/>
      <c r="M14" s="588"/>
      <c r="N14" s="588"/>
      <c r="O14" s="588"/>
      <c r="P14" s="588"/>
      <c r="Q14" s="602"/>
      <c r="R14" s="602"/>
      <c r="S14" s="602"/>
      <c r="T14" s="318"/>
    </row>
    <row r="15" spans="2:20" s="8" customFormat="1">
      <c r="B15" s="315">
        <v>6</v>
      </c>
      <c r="C15" s="319" t="s">
        <v>220</v>
      </c>
      <c r="D15" s="588"/>
      <c r="E15" s="588"/>
      <c r="F15" s="588"/>
      <c r="G15" s="588"/>
      <c r="H15" s="588"/>
      <c r="I15" s="588"/>
      <c r="J15" s="588"/>
      <c r="K15" s="588"/>
      <c r="L15" s="588"/>
      <c r="M15" s="588"/>
      <c r="N15" s="588"/>
      <c r="O15" s="588"/>
      <c r="P15" s="588"/>
      <c r="Q15" s="602"/>
      <c r="R15" s="602"/>
      <c r="S15" s="602"/>
      <c r="T15" s="318"/>
    </row>
    <row r="16" spans="2:20" s="8" customFormat="1">
      <c r="B16" s="315">
        <v>7</v>
      </c>
      <c r="C16" s="319" t="s">
        <v>222</v>
      </c>
      <c r="D16" s="588"/>
      <c r="E16" s="588"/>
      <c r="F16" s="588"/>
      <c r="G16" s="588"/>
      <c r="H16" s="588"/>
      <c r="I16" s="588"/>
      <c r="J16" s="588"/>
      <c r="K16" s="588"/>
      <c r="L16" s="588"/>
      <c r="M16" s="588"/>
      <c r="N16" s="588"/>
      <c r="O16" s="588"/>
      <c r="P16" s="588"/>
      <c r="Q16" s="602"/>
      <c r="R16" s="602"/>
      <c r="S16" s="602"/>
      <c r="T16" s="318"/>
    </row>
    <row r="17" spans="2:20">
      <c r="B17" s="315">
        <v>8</v>
      </c>
      <c r="C17" s="319" t="s">
        <v>223</v>
      </c>
      <c r="D17" s="588"/>
      <c r="E17" s="588"/>
      <c r="F17" s="588"/>
      <c r="G17" s="588"/>
      <c r="H17" s="588"/>
      <c r="I17" s="588"/>
      <c r="J17" s="588"/>
      <c r="K17" s="588"/>
      <c r="L17" s="588"/>
      <c r="M17" s="588"/>
      <c r="N17" s="588"/>
      <c r="O17" s="588"/>
      <c r="P17" s="588"/>
      <c r="Q17" s="603"/>
      <c r="R17" s="602"/>
      <c r="S17" s="602"/>
      <c r="T17" s="318"/>
    </row>
    <row r="18" spans="2:20">
      <c r="B18" s="315">
        <v>9</v>
      </c>
      <c r="C18" s="319" t="s">
        <v>224</v>
      </c>
      <c r="D18" s="588"/>
      <c r="E18" s="588"/>
      <c r="F18" s="588"/>
      <c r="G18" s="588"/>
      <c r="H18" s="588"/>
      <c r="I18" s="588"/>
      <c r="J18" s="588"/>
      <c r="K18" s="588"/>
      <c r="L18" s="588"/>
      <c r="M18" s="588"/>
      <c r="N18" s="588"/>
      <c r="O18" s="588"/>
      <c r="P18" s="588"/>
      <c r="Q18" s="603"/>
      <c r="R18" s="602"/>
      <c r="S18" s="602"/>
      <c r="T18" s="318"/>
    </row>
    <row r="19" spans="2:20">
      <c r="B19" s="315">
        <v>10</v>
      </c>
      <c r="C19" s="448" t="s">
        <v>310</v>
      </c>
      <c r="D19" s="588"/>
      <c r="E19" s="588"/>
      <c r="F19" s="588"/>
      <c r="G19" s="588"/>
      <c r="H19" s="588"/>
      <c r="I19" s="588"/>
      <c r="J19" s="588"/>
      <c r="K19" s="588"/>
      <c r="L19" s="588"/>
      <c r="M19" s="588"/>
      <c r="N19" s="588"/>
      <c r="O19" s="588"/>
      <c r="P19" s="588"/>
      <c r="Q19" s="603"/>
      <c r="R19" s="602"/>
      <c r="S19" s="602"/>
      <c r="T19" s="318"/>
    </row>
    <row r="20" spans="2:20">
      <c r="B20" s="315"/>
      <c r="C20" s="319"/>
      <c r="D20" s="588"/>
      <c r="E20" s="588"/>
      <c r="F20" s="588"/>
      <c r="G20" s="588"/>
      <c r="H20" s="588"/>
      <c r="I20" s="588"/>
      <c r="J20" s="588"/>
      <c r="K20" s="588"/>
      <c r="L20" s="588"/>
      <c r="M20" s="588"/>
      <c r="N20" s="588"/>
      <c r="O20" s="588"/>
      <c r="P20" s="588"/>
      <c r="Q20" s="603"/>
      <c r="R20" s="602"/>
      <c r="S20" s="602"/>
      <c r="T20" s="318"/>
    </row>
    <row r="21" spans="2:20">
      <c r="B21" s="315"/>
      <c r="C21" s="319"/>
      <c r="D21" s="588"/>
      <c r="E21" s="588"/>
      <c r="F21" s="588"/>
      <c r="G21" s="588"/>
      <c r="H21" s="588"/>
      <c r="I21" s="588"/>
      <c r="J21" s="588"/>
      <c r="K21" s="588"/>
      <c r="L21" s="588"/>
      <c r="M21" s="588"/>
      <c r="N21" s="588"/>
      <c r="O21" s="588"/>
      <c r="P21" s="588"/>
      <c r="Q21" s="603"/>
      <c r="R21" s="602"/>
      <c r="S21" s="602"/>
      <c r="T21" s="318"/>
    </row>
    <row r="22" spans="2:20" s="25" customFormat="1">
      <c r="B22" s="315"/>
      <c r="C22" s="320" t="s">
        <v>23</v>
      </c>
      <c r="D22" s="590">
        <f>SUM(D10:D21)</f>
        <v>0.68</v>
      </c>
      <c r="E22" s="590">
        <f t="shared" ref="E22:S22" si="0">SUM(E10:E21)</f>
        <v>0.68292399999999986</v>
      </c>
      <c r="F22" s="590">
        <f t="shared" si="0"/>
        <v>2.9239999999998156E-3</v>
      </c>
      <c r="G22" s="590">
        <f t="shared" si="0"/>
        <v>0.79</v>
      </c>
      <c r="H22" s="590">
        <f t="shared" si="0"/>
        <v>0.7973318869799999</v>
      </c>
      <c r="I22" s="590">
        <f t="shared" si="0"/>
        <v>7.3318869799998687E-3</v>
      </c>
      <c r="J22" s="590">
        <f t="shared" si="0"/>
        <v>0.91</v>
      </c>
      <c r="K22" s="590">
        <f>M22/2</f>
        <v>0.45393302436579375</v>
      </c>
      <c r="L22" s="590">
        <f>M22/2</f>
        <v>0.45393302436579375</v>
      </c>
      <c r="M22" s="590">
        <f t="shared" si="0"/>
        <v>0.90786604873158749</v>
      </c>
      <c r="N22" s="590">
        <f t="shared" si="0"/>
        <v>0.45393302436579375</v>
      </c>
      <c r="O22" s="590">
        <f t="shared" si="0"/>
        <v>1.0143825730556375</v>
      </c>
      <c r="P22" s="590">
        <f t="shared" si="0"/>
        <v>1.1209048696605626</v>
      </c>
      <c r="Q22" s="590">
        <f t="shared" si="0"/>
        <v>1.2277006150154874</v>
      </c>
      <c r="R22" s="590">
        <f t="shared" si="0"/>
        <v>1.3347659441204125</v>
      </c>
      <c r="S22" s="590">
        <f t="shared" si="0"/>
        <v>1.4418351382253376</v>
      </c>
      <c r="T22" s="318"/>
    </row>
    <row r="23" spans="2:20" s="25" customFormat="1">
      <c r="B23" s="5"/>
      <c r="C23" s="18"/>
    </row>
    <row r="24" spans="2:20">
      <c r="B24" s="275" t="s">
        <v>736</v>
      </c>
    </row>
  </sheetData>
  <mergeCells count="10">
    <mergeCell ref="B2:T2"/>
    <mergeCell ref="B3:T3"/>
    <mergeCell ref="B4:T4"/>
    <mergeCell ref="O7:S7"/>
    <mergeCell ref="T7:T9"/>
    <mergeCell ref="B7:B9"/>
    <mergeCell ref="C7:C9"/>
    <mergeCell ref="G7:I7"/>
    <mergeCell ref="J7:N7"/>
    <mergeCell ref="D7:F7"/>
  </mergeCells>
  <phoneticPr fontId="0" type="noConversion"/>
  <pageMargins left="0.43307086614173229" right="0.43307086614173229" top="0.43307086614173229" bottom="0.43307086614173229" header="0.31496062992125984" footer="0.31496062992125984"/>
  <pageSetup paperSize="9" scale="64" fitToWidth="2" fitToHeight="2" orientation="landscape" r:id="rId1"/>
  <headerFooter>
    <oddFooter>&amp;CPage. &amp;P</oddFooter>
  </headerFooter>
  <colBreaks count="1" manualBreakCount="1">
    <brk id="12" max="2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R102"/>
  <sheetViews>
    <sheetView showGridLines="0" view="pageBreakPreview" topLeftCell="A66" zoomScale="60" zoomScaleNormal="70" workbookViewId="0">
      <selection activeCell="C103" sqref="C103"/>
    </sheetView>
  </sheetViews>
  <sheetFormatPr baseColWidth="10" defaultColWidth="8.83203125" defaultRowHeight="15"/>
  <cols>
    <col min="1" max="1" width="8.83203125" style="328"/>
    <col min="2" max="2" width="10.5" style="25" customWidth="1"/>
    <col min="3" max="3" width="51.33203125" style="361" customWidth="1"/>
    <col min="4" max="4" width="12.83203125" style="25" customWidth="1"/>
    <col min="5" max="6" width="14.1640625" style="25" customWidth="1"/>
    <col min="7" max="7" width="16.1640625" style="25" customWidth="1"/>
    <col min="8" max="9" width="14.1640625" style="25" customWidth="1"/>
    <col min="10" max="10" width="16.83203125" style="25" customWidth="1"/>
    <col min="11" max="12" width="14.1640625" style="25" customWidth="1"/>
    <col min="13" max="13" width="19.5" style="25" customWidth="1"/>
    <col min="14" max="14" width="15.33203125" style="25" customWidth="1"/>
    <col min="15" max="16384" width="8.83203125" style="25"/>
  </cols>
  <sheetData>
    <row r="2" spans="2:18">
      <c r="B2" s="1157" t="str">
        <f>Index!B2</f>
        <v>Jaigad Power Transco Ltd</v>
      </c>
      <c r="C2" s="1157"/>
      <c r="D2" s="1157"/>
      <c r="E2" s="1157"/>
      <c r="F2" s="1157"/>
      <c r="G2" s="1157"/>
      <c r="H2" s="1157"/>
      <c r="I2" s="1157"/>
      <c r="J2" s="1157"/>
      <c r="K2" s="1157"/>
      <c r="L2" s="1157"/>
      <c r="M2" s="1157"/>
      <c r="N2" s="1157"/>
    </row>
    <row r="3" spans="2:18">
      <c r="B3" s="1156" t="s">
        <v>186</v>
      </c>
      <c r="C3" s="1156"/>
      <c r="D3" s="1156"/>
      <c r="E3" s="1156"/>
      <c r="F3" s="1156"/>
      <c r="G3" s="1156"/>
      <c r="H3" s="1156"/>
      <c r="I3" s="1156"/>
      <c r="J3" s="1156"/>
      <c r="K3" s="1156"/>
      <c r="L3" s="1156"/>
      <c r="M3" s="1156"/>
      <c r="N3" s="1156"/>
    </row>
    <row r="4" spans="2:18">
      <c r="B4" s="1156" t="s">
        <v>679</v>
      </c>
      <c r="C4" s="1156"/>
      <c r="D4" s="1156"/>
      <c r="E4" s="1156"/>
      <c r="F4" s="1156"/>
      <c r="G4" s="1156"/>
      <c r="H4" s="1156"/>
      <c r="I4" s="1156"/>
      <c r="J4" s="1156"/>
      <c r="K4" s="1156"/>
      <c r="L4" s="1156"/>
      <c r="M4" s="1156"/>
      <c r="N4" s="1156"/>
    </row>
    <row r="6" spans="2:18" s="9" customFormat="1">
      <c r="B6" s="337"/>
      <c r="C6" s="341"/>
      <c r="D6" s="341"/>
      <c r="E6" s="341"/>
      <c r="F6" s="341"/>
      <c r="G6" s="341"/>
      <c r="H6" s="341"/>
      <c r="I6" s="341"/>
      <c r="J6" s="341"/>
      <c r="K6" s="278" t="s">
        <v>33</v>
      </c>
      <c r="L6" s="19"/>
      <c r="M6" s="19"/>
      <c r="N6" s="19"/>
      <c r="O6" s="16"/>
    </row>
    <row r="7" spans="2:18" s="9" customFormat="1">
      <c r="B7" s="983" t="s">
        <v>226</v>
      </c>
      <c r="C7" s="983" t="s">
        <v>4</v>
      </c>
      <c r="D7" s="980"/>
      <c r="E7" s="987" t="s">
        <v>213</v>
      </c>
      <c r="F7" s="988"/>
      <c r="G7" s="989"/>
      <c r="H7" s="987" t="s">
        <v>214</v>
      </c>
      <c r="I7" s="988"/>
      <c r="J7" s="989"/>
      <c r="K7" s="987" t="s">
        <v>215</v>
      </c>
      <c r="L7" s="988"/>
      <c r="M7" s="989"/>
      <c r="N7" s="1071" t="s">
        <v>37</v>
      </c>
      <c r="O7" s="19"/>
      <c r="P7" s="19"/>
      <c r="Q7" s="19"/>
      <c r="R7" s="16"/>
    </row>
    <row r="8" spans="2:18" s="9" customFormat="1" ht="45" customHeight="1">
      <c r="B8" s="1111"/>
      <c r="C8" s="1111"/>
      <c r="D8" s="981"/>
      <c r="E8" s="362" t="s">
        <v>320</v>
      </c>
      <c r="F8" s="362" t="s">
        <v>574</v>
      </c>
      <c r="G8" s="362" t="s">
        <v>312</v>
      </c>
      <c r="H8" s="362" t="s">
        <v>320</v>
      </c>
      <c r="I8" s="362" t="s">
        <v>574</v>
      </c>
      <c r="J8" s="362" t="s">
        <v>312</v>
      </c>
      <c r="K8" s="362" t="s">
        <v>313</v>
      </c>
      <c r="L8" s="362" t="s">
        <v>59</v>
      </c>
      <c r="M8" s="362" t="s">
        <v>316</v>
      </c>
      <c r="N8" s="1072"/>
      <c r="O8" s="19"/>
      <c r="P8" s="19"/>
      <c r="Q8" s="19"/>
      <c r="R8" s="16"/>
    </row>
    <row r="9" spans="2:18" s="9" customFormat="1" ht="16">
      <c r="B9" s="1111"/>
      <c r="C9" s="1111"/>
      <c r="D9" s="1151"/>
      <c r="E9" s="362" t="s">
        <v>56</v>
      </c>
      <c r="F9" s="362" t="s">
        <v>57</v>
      </c>
      <c r="G9" s="362" t="s">
        <v>317</v>
      </c>
      <c r="H9" s="362" t="s">
        <v>318</v>
      </c>
      <c r="I9" s="362" t="s">
        <v>319</v>
      </c>
      <c r="J9" s="362" t="s">
        <v>545</v>
      </c>
      <c r="K9" s="362" t="s">
        <v>546</v>
      </c>
      <c r="L9" s="362" t="s">
        <v>547</v>
      </c>
      <c r="M9" s="362" t="s">
        <v>567</v>
      </c>
      <c r="N9" s="1152"/>
      <c r="O9" s="19"/>
      <c r="P9" s="19"/>
      <c r="Q9" s="19"/>
      <c r="R9" s="16"/>
    </row>
    <row r="10" spans="2:18" s="9" customFormat="1" ht="16">
      <c r="B10" s="279">
        <v>1</v>
      </c>
      <c r="C10" s="330" t="s">
        <v>0</v>
      </c>
      <c r="D10" s="331"/>
      <c r="E10" s="331">
        <v>5.59</v>
      </c>
      <c r="F10" s="743">
        <f ca="1">'Income Tax'!E16</f>
        <v>6.5952084425721109</v>
      </c>
      <c r="G10" s="743">
        <f ca="1">F10-E10</f>
        <v>1.0052084425721111</v>
      </c>
      <c r="H10" s="331">
        <v>5.59</v>
      </c>
      <c r="I10" s="794">
        <f ca="1">'Income Tax'!G16</f>
        <v>6.0341719574877875</v>
      </c>
      <c r="J10" s="743">
        <f ca="1">I10-H10</f>
        <v>0.44417195748778759</v>
      </c>
      <c r="K10" s="331">
        <v>5.59</v>
      </c>
      <c r="L10" s="332">
        <f ca="1">I10</f>
        <v>6.0341719574877875</v>
      </c>
      <c r="M10" s="743">
        <f ca="1">L10-K10</f>
        <v>0.44417195748778759</v>
      </c>
      <c r="N10" s="280"/>
      <c r="O10" s="19"/>
      <c r="P10" s="19"/>
      <c r="Q10" s="19"/>
      <c r="R10" s="16"/>
    </row>
    <row r="11" spans="2:18" s="9" customFormat="1">
      <c r="B11" s="337"/>
      <c r="C11" s="341"/>
      <c r="D11" s="341"/>
      <c r="E11" s="341"/>
      <c r="F11" s="341"/>
      <c r="G11" s="341"/>
      <c r="H11" s="341"/>
      <c r="I11" s="341"/>
      <c r="J11" s="341"/>
      <c r="K11" s="19"/>
      <c r="L11" s="19"/>
      <c r="M11" s="19"/>
      <c r="N11" s="19"/>
      <c r="O11" s="16"/>
    </row>
    <row r="12" spans="2:18" s="9" customFormat="1" ht="14" customHeight="1">
      <c r="B12" s="354" t="s">
        <v>737</v>
      </c>
      <c r="C12" s="333"/>
      <c r="D12" s="333"/>
      <c r="E12" s="333"/>
      <c r="F12" s="333"/>
      <c r="G12" s="333"/>
      <c r="H12" s="333"/>
      <c r="I12" s="341"/>
      <c r="J12" s="341"/>
      <c r="K12" s="19"/>
      <c r="L12" s="19"/>
      <c r="M12" s="19"/>
      <c r="N12" s="19"/>
      <c r="O12" s="16"/>
    </row>
    <row r="13" spans="2:18" s="9" customFormat="1" ht="14" customHeight="1">
      <c r="B13" s="334" t="s">
        <v>617</v>
      </c>
      <c r="C13" s="335"/>
      <c r="D13" s="335"/>
      <c r="E13" s="335"/>
      <c r="F13" s="335"/>
      <c r="G13" s="335"/>
      <c r="H13" s="335"/>
      <c r="I13" s="335"/>
      <c r="J13" s="335"/>
      <c r="K13" s="336"/>
      <c r="L13" s="336"/>
      <c r="M13" s="336"/>
      <c r="N13" s="19"/>
      <c r="O13" s="16"/>
    </row>
    <row r="14" spans="2:18" s="9" customFormat="1" ht="14" customHeight="1">
      <c r="B14" s="354"/>
      <c r="C14" s="333"/>
      <c r="D14" s="333"/>
      <c r="E14" s="333"/>
      <c r="F14" s="333"/>
      <c r="G14" s="333"/>
      <c r="H14" s="333"/>
      <c r="I14" s="333"/>
      <c r="J14" s="333"/>
      <c r="K14" s="19"/>
      <c r="L14" s="19"/>
      <c r="M14" s="19"/>
      <c r="N14" s="19"/>
      <c r="O14" s="16"/>
    </row>
    <row r="15" spans="2:18" s="9" customFormat="1">
      <c r="B15" s="337"/>
      <c r="C15" s="333"/>
      <c r="D15" s="333"/>
      <c r="E15" s="333"/>
      <c r="F15" s="333"/>
      <c r="G15" s="333"/>
      <c r="H15" s="333"/>
      <c r="I15" s="333"/>
      <c r="J15" s="333"/>
      <c r="K15" s="19"/>
      <c r="L15" s="19"/>
      <c r="M15" s="19"/>
      <c r="N15" s="19"/>
      <c r="O15" s="16"/>
    </row>
    <row r="16" spans="2:18" s="9" customFormat="1">
      <c r="B16" s="1163" t="s">
        <v>680</v>
      </c>
      <c r="C16" s="1163"/>
      <c r="D16" s="1163"/>
      <c r="E16" s="1163"/>
      <c r="F16" s="1163"/>
      <c r="G16" s="338"/>
      <c r="H16" s="338"/>
      <c r="I16" s="338"/>
      <c r="J16" s="338"/>
      <c r="K16" s="277"/>
      <c r="L16" s="19"/>
      <c r="M16" s="19"/>
      <c r="N16" s="19"/>
      <c r="O16" s="16"/>
    </row>
    <row r="17" spans="2:15" s="9" customFormat="1">
      <c r="B17" s="275"/>
      <c r="C17" s="327"/>
      <c r="D17" s="275"/>
      <c r="E17" s="275"/>
      <c r="F17" s="278" t="s">
        <v>33</v>
      </c>
      <c r="G17" s="275"/>
      <c r="H17" s="275"/>
      <c r="I17" s="275"/>
      <c r="J17" s="275"/>
      <c r="L17" s="19"/>
      <c r="M17" s="19"/>
      <c r="N17" s="19"/>
      <c r="O17" s="16"/>
    </row>
    <row r="18" spans="2:15" s="9" customFormat="1" ht="16">
      <c r="B18" s="983" t="s">
        <v>226</v>
      </c>
      <c r="C18" s="983" t="s">
        <v>4</v>
      </c>
      <c r="D18" s="980" t="s">
        <v>640</v>
      </c>
      <c r="E18" s="339" t="s">
        <v>213</v>
      </c>
      <c r="F18" s="339" t="s">
        <v>214</v>
      </c>
      <c r="G18" s="362" t="s">
        <v>215</v>
      </c>
      <c r="H18" s="341"/>
      <c r="I18" s="341"/>
      <c r="J18" s="341"/>
      <c r="K18" s="341"/>
      <c r="L18" s="19"/>
      <c r="M18" s="19"/>
      <c r="N18" s="19"/>
      <c r="O18" s="16"/>
    </row>
    <row r="19" spans="2:15" s="9" customFormat="1" ht="32">
      <c r="B19" s="1111"/>
      <c r="C19" s="1111"/>
      <c r="D19" s="981"/>
      <c r="E19" s="362" t="s">
        <v>311</v>
      </c>
      <c r="F19" s="362" t="s">
        <v>311</v>
      </c>
      <c r="G19" s="362" t="s">
        <v>59</v>
      </c>
      <c r="H19" s="341"/>
      <c r="I19" s="341"/>
      <c r="J19" s="341"/>
      <c r="K19" s="341"/>
      <c r="L19" s="19"/>
      <c r="M19" s="19"/>
      <c r="N19" s="19"/>
      <c r="O19" s="16"/>
    </row>
    <row r="20" spans="2:15" s="9" customFormat="1" ht="16">
      <c r="B20" s="1111"/>
      <c r="C20" s="1111"/>
      <c r="D20" s="1151"/>
      <c r="E20" s="362" t="s">
        <v>56</v>
      </c>
      <c r="F20" s="362" t="s">
        <v>57</v>
      </c>
      <c r="G20" s="362" t="s">
        <v>552</v>
      </c>
      <c r="H20" s="341"/>
      <c r="I20" s="341"/>
      <c r="J20" s="341"/>
      <c r="K20" s="341"/>
      <c r="L20" s="19"/>
      <c r="M20" s="19"/>
      <c r="N20" s="19"/>
      <c r="O20" s="16"/>
    </row>
    <row r="21" spans="2:15" s="9" customFormat="1" ht="16">
      <c r="B21" s="279">
        <v>1</v>
      </c>
      <c r="C21" s="670" t="s">
        <v>363</v>
      </c>
      <c r="D21" s="671">
        <v>1</v>
      </c>
      <c r="E21" s="745">
        <v>43.8562923</v>
      </c>
      <c r="F21" s="340">
        <f>E24</f>
        <v>50.092303600000001</v>
      </c>
      <c r="G21" s="340">
        <f>F24</f>
        <v>56.165730799999999</v>
      </c>
      <c r="H21" s="341"/>
      <c r="I21" s="341"/>
      <c r="J21" s="341"/>
      <c r="K21" s="341"/>
      <c r="L21" s="19"/>
      <c r="M21" s="19"/>
      <c r="N21" s="19"/>
      <c r="O21" s="16"/>
    </row>
    <row r="22" spans="2:15" s="9" customFormat="1" ht="16">
      <c r="B22" s="279">
        <v>2</v>
      </c>
      <c r="C22" s="670" t="s">
        <v>364</v>
      </c>
      <c r="D22" s="671">
        <v>2</v>
      </c>
      <c r="E22" s="792">
        <v>6.2360113000000004</v>
      </c>
      <c r="F22" s="793">
        <v>6.0734272000000002</v>
      </c>
      <c r="G22" s="340"/>
      <c r="H22" s="341"/>
      <c r="I22" s="341"/>
      <c r="J22" s="341"/>
      <c r="K22" s="341"/>
      <c r="L22" s="19"/>
      <c r="M22" s="19"/>
      <c r="N22" s="19"/>
      <c r="O22" s="16"/>
    </row>
    <row r="23" spans="2:15" s="9" customFormat="1" ht="16">
      <c r="B23" s="279">
        <v>3</v>
      </c>
      <c r="C23" s="670" t="s">
        <v>365</v>
      </c>
      <c r="D23" s="671">
        <v>3</v>
      </c>
      <c r="E23" s="671"/>
      <c r="F23" s="340"/>
      <c r="G23" s="340"/>
      <c r="H23" s="341"/>
      <c r="I23" s="341"/>
      <c r="J23" s="341"/>
      <c r="K23" s="341"/>
      <c r="L23" s="19"/>
      <c r="M23" s="19"/>
      <c r="N23" s="19"/>
      <c r="O23" s="16"/>
    </row>
    <row r="24" spans="2:15" s="9" customFormat="1" ht="16">
      <c r="B24" s="279">
        <v>4</v>
      </c>
      <c r="C24" s="670" t="s">
        <v>366</v>
      </c>
      <c r="D24" s="671" t="s">
        <v>367</v>
      </c>
      <c r="E24" s="737">
        <f>E21+E22-E23</f>
        <v>50.092303600000001</v>
      </c>
      <c r="F24" s="737">
        <f t="shared" ref="F24:G24" si="0">F21+F22-F23</f>
        <v>56.165730799999999</v>
      </c>
      <c r="G24" s="737">
        <f t="shared" si="0"/>
        <v>56.165730799999999</v>
      </c>
      <c r="H24" s="341"/>
      <c r="I24" s="341"/>
      <c r="J24" s="341"/>
      <c r="K24" s="341"/>
      <c r="L24" s="19"/>
      <c r="M24" s="19"/>
      <c r="N24" s="19"/>
      <c r="O24" s="16"/>
    </row>
    <row r="25" spans="2:15" s="9" customFormat="1">
      <c r="B25" s="337"/>
      <c r="C25" s="341"/>
      <c r="D25" s="341"/>
      <c r="E25" s="341"/>
      <c r="F25" s="341"/>
      <c r="G25" s="341"/>
      <c r="H25" s="341"/>
      <c r="I25" s="341"/>
      <c r="J25" s="341"/>
      <c r="K25" s="19"/>
      <c r="L25" s="19"/>
      <c r="M25" s="19"/>
      <c r="N25" s="19"/>
      <c r="O25" s="16"/>
    </row>
    <row r="26" spans="2:15" s="9" customFormat="1">
      <c r="B26" s="337"/>
      <c r="C26" s="341"/>
      <c r="D26" s="341"/>
      <c r="E26" s="341"/>
      <c r="F26" s="341"/>
      <c r="G26" s="341"/>
      <c r="H26" s="341"/>
      <c r="I26" s="341"/>
      <c r="J26" s="341"/>
      <c r="K26" s="19"/>
      <c r="L26" s="19"/>
      <c r="M26" s="19"/>
      <c r="N26" s="19"/>
      <c r="O26" s="16"/>
    </row>
    <row r="27" spans="2:15" s="9" customFormat="1">
      <c r="B27" s="337"/>
      <c r="C27" s="341"/>
      <c r="D27" s="341"/>
      <c r="E27" s="341"/>
      <c r="F27" s="341"/>
      <c r="G27" s="341"/>
      <c r="H27" s="341"/>
      <c r="I27" s="341"/>
      <c r="J27" s="341"/>
      <c r="K27" s="19"/>
      <c r="L27" s="19"/>
      <c r="M27" s="19"/>
      <c r="N27" s="19"/>
      <c r="O27" s="16"/>
    </row>
    <row r="28" spans="2:15" s="9" customFormat="1">
      <c r="B28" s="1163" t="s">
        <v>681</v>
      </c>
      <c r="C28" s="1174"/>
      <c r="D28" s="1174"/>
      <c r="E28" s="1174"/>
      <c r="F28" s="1174"/>
      <c r="G28" s="1174"/>
      <c r="H28" s="1174"/>
      <c r="I28" s="1174"/>
      <c r="J28" s="1174"/>
      <c r="K28" s="277"/>
      <c r="L28" s="277"/>
      <c r="M28" s="277"/>
      <c r="N28" s="277"/>
      <c r="O28" s="277"/>
    </row>
    <row r="29" spans="2:15" s="275" customFormat="1">
      <c r="C29" s="327"/>
      <c r="M29" s="278" t="s">
        <v>33</v>
      </c>
    </row>
    <row r="30" spans="2:15" s="275" customFormat="1">
      <c r="B30" s="983" t="s">
        <v>226</v>
      </c>
      <c r="C30" s="983" t="s">
        <v>4</v>
      </c>
      <c r="D30" s="980" t="s">
        <v>640</v>
      </c>
      <c r="E30" s="987" t="s">
        <v>213</v>
      </c>
      <c r="F30" s="988"/>
      <c r="G30" s="989"/>
      <c r="H30" s="987" t="s">
        <v>214</v>
      </c>
      <c r="I30" s="988"/>
      <c r="J30" s="989"/>
      <c r="K30" s="987" t="s">
        <v>215</v>
      </c>
      <c r="L30" s="988"/>
      <c r="M30" s="989"/>
      <c r="N30" s="1074" t="s">
        <v>37</v>
      </c>
    </row>
    <row r="31" spans="2:15" s="275" customFormat="1" ht="32">
      <c r="B31" s="1111"/>
      <c r="C31" s="1111"/>
      <c r="D31" s="981"/>
      <c r="E31" s="342" t="s">
        <v>313</v>
      </c>
      <c r="F31" s="362" t="s">
        <v>311</v>
      </c>
      <c r="G31" s="362" t="s">
        <v>312</v>
      </c>
      <c r="H31" s="342" t="s">
        <v>313</v>
      </c>
      <c r="I31" s="362" t="s">
        <v>311</v>
      </c>
      <c r="J31" s="362" t="s">
        <v>312</v>
      </c>
      <c r="K31" s="362" t="s">
        <v>313</v>
      </c>
      <c r="L31" s="362" t="s">
        <v>59</v>
      </c>
      <c r="M31" s="362" t="s">
        <v>316</v>
      </c>
      <c r="N31" s="1074"/>
    </row>
    <row r="32" spans="2:15" s="275" customFormat="1" ht="16">
      <c r="B32" s="1111"/>
      <c r="C32" s="1111"/>
      <c r="D32" s="1151"/>
      <c r="E32" s="362" t="s">
        <v>56</v>
      </c>
      <c r="F32" s="362" t="s">
        <v>57</v>
      </c>
      <c r="G32" s="362" t="s">
        <v>317</v>
      </c>
      <c r="H32" s="362" t="s">
        <v>56</v>
      </c>
      <c r="I32" s="362" t="s">
        <v>57</v>
      </c>
      <c r="J32" s="362" t="s">
        <v>317</v>
      </c>
      <c r="K32" s="362" t="s">
        <v>318</v>
      </c>
      <c r="L32" s="362" t="s">
        <v>319</v>
      </c>
      <c r="M32" s="362" t="s">
        <v>352</v>
      </c>
      <c r="N32" s="343"/>
    </row>
    <row r="33" spans="2:14" s="275" customFormat="1" ht="16">
      <c r="B33" s="279">
        <v>1</v>
      </c>
      <c r="C33" s="670" t="s">
        <v>264</v>
      </c>
      <c r="D33" s="671" t="s">
        <v>46</v>
      </c>
      <c r="E33" s="672"/>
      <c r="F33" s="332">
        <v>91.567276752182622</v>
      </c>
      <c r="G33" s="672"/>
      <c r="H33" s="1171"/>
      <c r="I33" s="332">
        <v>82.994768899999997</v>
      </c>
      <c r="J33" s="1168"/>
      <c r="K33" s="1168"/>
      <c r="L33" s="1168"/>
      <c r="M33" s="1168"/>
      <c r="N33" s="280"/>
    </row>
    <row r="34" spans="2:14" s="275" customFormat="1" ht="16">
      <c r="B34" s="279">
        <f>B33+1</f>
        <v>2</v>
      </c>
      <c r="C34" s="670" t="s">
        <v>265</v>
      </c>
      <c r="D34" s="671" t="s">
        <v>47</v>
      </c>
      <c r="E34" s="673"/>
      <c r="F34" s="332">
        <v>57.40434662146815</v>
      </c>
      <c r="G34" s="673"/>
      <c r="H34" s="1172"/>
      <c r="I34" s="332">
        <v>52.2053017</v>
      </c>
      <c r="J34" s="1169"/>
      <c r="K34" s="1169"/>
      <c r="L34" s="1169"/>
      <c r="M34" s="1169"/>
      <c r="N34" s="280"/>
    </row>
    <row r="35" spans="2:14" s="275" customFormat="1" ht="16">
      <c r="B35" s="279">
        <f>B34+1</f>
        <v>3</v>
      </c>
      <c r="C35" s="330" t="s">
        <v>266</v>
      </c>
      <c r="D35" s="331" t="s">
        <v>267</v>
      </c>
      <c r="E35" s="344"/>
      <c r="F35" s="739">
        <f>F33-F34</f>
        <v>34.162930130714471</v>
      </c>
      <c r="G35" s="344"/>
      <c r="H35" s="1172"/>
      <c r="I35" s="739">
        <f>I33-I34</f>
        <v>30.789467199999997</v>
      </c>
      <c r="J35" s="1169"/>
      <c r="K35" s="1169"/>
      <c r="L35" s="1169"/>
      <c r="M35" s="1169"/>
      <c r="N35" s="280"/>
    </row>
    <row r="36" spans="2:14" s="275" customFormat="1">
      <c r="B36" s="279"/>
      <c r="C36" s="330"/>
      <c r="D36" s="331"/>
      <c r="E36" s="344"/>
      <c r="F36" s="332"/>
      <c r="G36" s="344"/>
      <c r="H36" s="1172"/>
      <c r="I36" s="332"/>
      <c r="J36" s="1169"/>
      <c r="K36" s="1169"/>
      <c r="L36" s="1169"/>
      <c r="M36" s="1169"/>
      <c r="N36" s="280"/>
    </row>
    <row r="37" spans="2:14" s="275" customFormat="1" ht="16">
      <c r="B37" s="279">
        <v>4</v>
      </c>
      <c r="C37" s="330" t="s">
        <v>268</v>
      </c>
      <c r="D37" s="671"/>
      <c r="E37" s="673"/>
      <c r="F37" s="332"/>
      <c r="G37" s="673"/>
      <c r="H37" s="1172"/>
      <c r="I37" s="332"/>
      <c r="J37" s="1169"/>
      <c r="K37" s="1169"/>
      <c r="L37" s="1169"/>
      <c r="M37" s="1169"/>
      <c r="N37" s="280"/>
    </row>
    <row r="38" spans="2:14" s="275" customFormat="1" ht="16">
      <c r="B38" s="279"/>
      <c r="C38" s="330" t="s">
        <v>269</v>
      </c>
      <c r="D38" s="671"/>
      <c r="E38" s="673"/>
      <c r="F38" s="332"/>
      <c r="G38" s="673"/>
      <c r="H38" s="1172"/>
      <c r="I38" s="332"/>
      <c r="J38" s="1169"/>
      <c r="K38" s="1169"/>
      <c r="L38" s="1169"/>
      <c r="M38" s="1169"/>
      <c r="N38" s="280"/>
    </row>
    <row r="39" spans="2:14" s="275" customFormat="1" ht="16">
      <c r="B39" s="279">
        <v>5</v>
      </c>
      <c r="C39" s="670" t="s">
        <v>270</v>
      </c>
      <c r="D39" s="671" t="s">
        <v>171</v>
      </c>
      <c r="E39" s="673"/>
      <c r="F39" s="332">
        <v>29.102834399999999</v>
      </c>
      <c r="G39" s="673"/>
      <c r="H39" s="1172"/>
      <c r="I39" s="332">
        <v>29.106445799999999</v>
      </c>
      <c r="J39" s="1169"/>
      <c r="K39" s="1169"/>
      <c r="L39" s="1169"/>
      <c r="M39" s="1169"/>
      <c r="N39" s="280"/>
    </row>
    <row r="40" spans="2:14" s="275" customFormat="1" ht="16">
      <c r="B40" s="279">
        <f t="shared" ref="B40:B80" si="1">B39+1</f>
        <v>6</v>
      </c>
      <c r="C40" s="670" t="s">
        <v>271</v>
      </c>
      <c r="D40" s="671" t="s">
        <v>83</v>
      </c>
      <c r="E40" s="673"/>
      <c r="F40" s="332">
        <v>2.4365415000000001</v>
      </c>
      <c r="G40" s="673"/>
      <c r="H40" s="1172"/>
      <c r="I40" s="332">
        <v>1.2976033</v>
      </c>
      <c r="J40" s="1169"/>
      <c r="K40" s="1169"/>
      <c r="L40" s="1169"/>
      <c r="M40" s="1169"/>
      <c r="N40" s="280"/>
    </row>
    <row r="41" spans="2:14" s="275" customFormat="1" ht="16">
      <c r="B41" s="279">
        <f t="shared" si="1"/>
        <v>7</v>
      </c>
      <c r="C41" s="330" t="s">
        <v>272</v>
      </c>
      <c r="D41" s="331" t="s">
        <v>273</v>
      </c>
      <c r="E41" s="344"/>
      <c r="F41" s="739">
        <f>F39+F40</f>
        <v>31.5393759</v>
      </c>
      <c r="G41" s="344"/>
      <c r="H41" s="1172"/>
      <c r="I41" s="739">
        <f>I39+I40</f>
        <v>30.404049099999998</v>
      </c>
      <c r="J41" s="1169"/>
      <c r="K41" s="1169"/>
      <c r="L41" s="1169"/>
      <c r="M41" s="1169"/>
      <c r="N41" s="280"/>
    </row>
    <row r="42" spans="2:14" s="275" customFormat="1" ht="16">
      <c r="B42" s="279"/>
      <c r="C42" s="330" t="s">
        <v>274</v>
      </c>
      <c r="D42" s="331"/>
      <c r="E42" s="344"/>
      <c r="F42" s="332"/>
      <c r="G42" s="344"/>
      <c r="H42" s="1172"/>
      <c r="I42" s="332"/>
      <c r="J42" s="1169"/>
      <c r="K42" s="1169"/>
      <c r="L42" s="1169"/>
      <c r="M42" s="1169"/>
      <c r="N42" s="280"/>
    </row>
    <row r="43" spans="2:14" s="275" customFormat="1" ht="16">
      <c r="B43" s="279">
        <v>8</v>
      </c>
      <c r="C43" s="670" t="s">
        <v>275</v>
      </c>
      <c r="D43" s="671" t="s">
        <v>276</v>
      </c>
      <c r="E43" s="673"/>
      <c r="F43" s="332">
        <v>31.8716498</v>
      </c>
      <c r="G43" s="673"/>
      <c r="H43" s="1172"/>
      <c r="I43" s="332">
        <v>27.092193300000002</v>
      </c>
      <c r="J43" s="1169"/>
      <c r="K43" s="1169"/>
      <c r="L43" s="1169"/>
      <c r="M43" s="1169"/>
      <c r="N43" s="280"/>
    </row>
    <row r="44" spans="2:14" s="275" customFormat="1" ht="16">
      <c r="B44" s="279">
        <f t="shared" si="1"/>
        <v>9</v>
      </c>
      <c r="C44" s="670" t="s">
        <v>277</v>
      </c>
      <c r="D44" s="671" t="s">
        <v>278</v>
      </c>
      <c r="E44" s="673"/>
      <c r="F44" s="332">
        <v>0</v>
      </c>
      <c r="G44" s="673"/>
      <c r="H44" s="1172"/>
      <c r="I44" s="332">
        <v>0</v>
      </c>
      <c r="J44" s="1169"/>
      <c r="K44" s="1169"/>
      <c r="L44" s="1169"/>
      <c r="M44" s="1169"/>
      <c r="N44" s="280"/>
    </row>
    <row r="45" spans="2:14" s="275" customFormat="1" ht="16">
      <c r="B45" s="279">
        <f t="shared" si="1"/>
        <v>10</v>
      </c>
      <c r="C45" s="670" t="s">
        <v>279</v>
      </c>
      <c r="D45" s="671" t="s">
        <v>280</v>
      </c>
      <c r="E45" s="673"/>
      <c r="F45" s="332">
        <v>30.478106732966339</v>
      </c>
      <c r="G45" s="673"/>
      <c r="H45" s="1172"/>
      <c r="I45" s="332">
        <v>31.896693695739334</v>
      </c>
      <c r="J45" s="1169"/>
      <c r="K45" s="1169"/>
      <c r="L45" s="1169"/>
      <c r="M45" s="1169"/>
      <c r="N45" s="280"/>
    </row>
    <row r="46" spans="2:14" s="275" customFormat="1" ht="16">
      <c r="B46" s="279">
        <f t="shared" si="1"/>
        <v>11</v>
      </c>
      <c r="C46" s="670" t="s">
        <v>281</v>
      </c>
      <c r="D46" s="674" t="s">
        <v>282</v>
      </c>
      <c r="E46" s="675"/>
      <c r="F46" s="332">
        <v>0</v>
      </c>
      <c r="G46" s="675"/>
      <c r="H46" s="1172"/>
      <c r="I46" s="332">
        <v>3.4480999999999999E-3</v>
      </c>
      <c r="J46" s="1169"/>
      <c r="K46" s="1169"/>
      <c r="L46" s="1169"/>
      <c r="M46" s="1169"/>
      <c r="N46" s="280"/>
    </row>
    <row r="47" spans="2:14" s="275" customFormat="1" ht="16">
      <c r="B47" s="279">
        <f t="shared" si="1"/>
        <v>12</v>
      </c>
      <c r="C47" s="670" t="s">
        <v>283</v>
      </c>
      <c r="D47" s="674" t="s">
        <v>284</v>
      </c>
      <c r="E47" s="675"/>
      <c r="F47" s="332">
        <v>0</v>
      </c>
      <c r="G47" s="675"/>
      <c r="H47" s="1172"/>
      <c r="I47" s="332">
        <v>0</v>
      </c>
      <c r="J47" s="1169"/>
      <c r="K47" s="1169"/>
      <c r="L47" s="1169"/>
      <c r="M47" s="1169"/>
      <c r="N47" s="280"/>
    </row>
    <row r="48" spans="2:14" s="275" customFormat="1" ht="16">
      <c r="B48" s="279">
        <f t="shared" si="1"/>
        <v>13</v>
      </c>
      <c r="C48" s="330" t="s">
        <v>285</v>
      </c>
      <c r="D48" s="331" t="s">
        <v>286</v>
      </c>
      <c r="E48" s="344"/>
      <c r="F48" s="739">
        <f>SUM(F43:F47)</f>
        <v>62.349756532966339</v>
      </c>
      <c r="G48" s="344"/>
      <c r="H48" s="1172"/>
      <c r="I48" s="739">
        <f>SUM(I43:I47)</f>
        <v>58.992335095739335</v>
      </c>
      <c r="J48" s="1169"/>
      <c r="K48" s="1169"/>
      <c r="L48" s="1169"/>
      <c r="M48" s="1169"/>
      <c r="N48" s="280"/>
    </row>
    <row r="49" spans="2:14" s="275" customFormat="1" ht="16">
      <c r="B49" s="279">
        <f t="shared" si="1"/>
        <v>14</v>
      </c>
      <c r="C49" s="330" t="s">
        <v>287</v>
      </c>
      <c r="D49" s="331" t="s">
        <v>288</v>
      </c>
      <c r="E49" s="344"/>
      <c r="F49" s="739">
        <f>F35+F41-F48</f>
        <v>3.3525494977481287</v>
      </c>
      <c r="G49" s="344"/>
      <c r="H49" s="1172"/>
      <c r="I49" s="739">
        <f>I35+I41-I48</f>
        <v>2.2011812042606635</v>
      </c>
      <c r="J49" s="1169"/>
      <c r="K49" s="1169"/>
      <c r="L49" s="1169"/>
      <c r="M49" s="1169"/>
      <c r="N49" s="280"/>
    </row>
    <row r="50" spans="2:14" s="275" customFormat="1">
      <c r="B50" s="279"/>
      <c r="C50" s="670"/>
      <c r="D50" s="671"/>
      <c r="E50" s="673"/>
      <c r="F50" s="332"/>
      <c r="G50" s="673"/>
      <c r="H50" s="1172"/>
      <c r="I50" s="332"/>
      <c r="J50" s="1169"/>
      <c r="K50" s="1169"/>
      <c r="L50" s="1169"/>
      <c r="M50" s="1169"/>
      <c r="N50" s="280"/>
    </row>
    <row r="51" spans="2:14" s="275" customFormat="1" ht="29.25" customHeight="1">
      <c r="B51" s="279">
        <v>15</v>
      </c>
      <c r="C51" s="330" t="s">
        <v>289</v>
      </c>
      <c r="D51" s="331" t="s">
        <v>290</v>
      </c>
      <c r="E51" s="344"/>
      <c r="F51" s="740">
        <f>(+F49*33.063%)</f>
        <v>1.108453440440464</v>
      </c>
      <c r="G51" s="344"/>
      <c r="H51" s="1172"/>
      <c r="I51" s="740">
        <f>(+I49*29.12%)</f>
        <v>0.64098396668070523</v>
      </c>
      <c r="J51" s="1169"/>
      <c r="K51" s="1169"/>
      <c r="L51" s="1169"/>
      <c r="M51" s="1169"/>
      <c r="N51" s="280"/>
    </row>
    <row r="52" spans="2:14" s="275" customFormat="1">
      <c r="B52" s="279"/>
      <c r="C52" s="330"/>
      <c r="D52" s="331"/>
      <c r="E52" s="344"/>
      <c r="F52" s="332"/>
      <c r="G52" s="344"/>
      <c r="H52" s="1172"/>
      <c r="I52" s="332"/>
      <c r="J52" s="1169"/>
      <c r="K52" s="1169"/>
      <c r="L52" s="1169"/>
      <c r="M52" s="1169"/>
      <c r="N52" s="280"/>
    </row>
    <row r="53" spans="2:14" s="275" customFormat="1" ht="32">
      <c r="B53" s="279">
        <v>16</v>
      </c>
      <c r="C53" s="330" t="s">
        <v>368</v>
      </c>
      <c r="D53" s="345" t="s">
        <v>291</v>
      </c>
      <c r="E53" s="346"/>
      <c r="F53" s="332">
        <f>F84</f>
        <v>7.344465257782959</v>
      </c>
      <c r="G53" s="346"/>
      <c r="H53" s="1172"/>
      <c r="I53" s="332">
        <f>I84</f>
        <v>6.685796627328001</v>
      </c>
      <c r="J53" s="1169"/>
      <c r="K53" s="1169"/>
      <c r="L53" s="1169"/>
      <c r="M53" s="1169"/>
      <c r="N53" s="280"/>
    </row>
    <row r="54" spans="2:14" s="275" customFormat="1">
      <c r="B54" s="279"/>
      <c r="C54" s="670"/>
      <c r="D54" s="671"/>
      <c r="E54" s="673"/>
      <c r="F54" s="332"/>
      <c r="G54" s="673"/>
      <c r="H54" s="1172"/>
      <c r="I54" s="332"/>
      <c r="J54" s="1169"/>
      <c r="K54" s="1169"/>
      <c r="L54" s="1169"/>
      <c r="M54" s="1169"/>
      <c r="N54" s="280"/>
    </row>
    <row r="55" spans="2:14" s="275" customFormat="1" ht="16">
      <c r="B55" s="279">
        <v>17</v>
      </c>
      <c r="C55" s="330" t="s">
        <v>292</v>
      </c>
      <c r="D55" s="331" t="s">
        <v>293</v>
      </c>
      <c r="E55" s="344"/>
      <c r="F55" s="739">
        <f>MAX(F51,F53)</f>
        <v>7.344465257782959</v>
      </c>
      <c r="G55" s="344"/>
      <c r="H55" s="1172"/>
      <c r="I55" s="739">
        <f>MAX(I51,I53)</f>
        <v>6.685796627328001</v>
      </c>
      <c r="J55" s="1169"/>
      <c r="K55" s="1169"/>
      <c r="L55" s="1169"/>
      <c r="M55" s="1169"/>
      <c r="N55" s="280"/>
    </row>
    <row r="56" spans="2:14" s="275" customFormat="1">
      <c r="B56" s="279"/>
      <c r="C56" s="330"/>
      <c r="D56" s="331"/>
      <c r="E56" s="344"/>
      <c r="F56" s="332"/>
      <c r="G56" s="344"/>
      <c r="H56" s="1172"/>
      <c r="I56" s="332"/>
      <c r="J56" s="1169"/>
      <c r="K56" s="1169"/>
      <c r="L56" s="1169"/>
      <c r="M56" s="1169"/>
      <c r="N56" s="280"/>
    </row>
    <row r="57" spans="2:14" s="275" customFormat="1" ht="16">
      <c r="B57" s="279">
        <v>18</v>
      </c>
      <c r="C57" s="330" t="s">
        <v>294</v>
      </c>
      <c r="D57" s="331" t="s">
        <v>295</v>
      </c>
      <c r="E57" s="344"/>
      <c r="F57" s="332">
        <f>F55</f>
        <v>7.344465257782959</v>
      </c>
      <c r="G57" s="344"/>
      <c r="H57" s="1172"/>
      <c r="I57" s="332">
        <f>I55</f>
        <v>6.685796627328001</v>
      </c>
      <c r="J57" s="1169"/>
      <c r="K57" s="1169"/>
      <c r="L57" s="1169"/>
      <c r="M57" s="1169"/>
      <c r="N57" s="280"/>
    </row>
    <row r="58" spans="2:14" s="275" customFormat="1">
      <c r="B58" s="279"/>
      <c r="C58" s="670"/>
      <c r="D58" s="671"/>
      <c r="E58" s="673"/>
      <c r="F58" s="332"/>
      <c r="G58" s="673"/>
      <c r="H58" s="1172"/>
      <c r="I58" s="332"/>
      <c r="J58" s="1169"/>
      <c r="K58" s="1169"/>
      <c r="L58" s="1169"/>
      <c r="M58" s="1169"/>
      <c r="N58" s="280"/>
    </row>
    <row r="59" spans="2:14" s="275" customFormat="1" ht="16">
      <c r="B59" s="279">
        <v>19</v>
      </c>
      <c r="C59" s="670" t="s">
        <v>296</v>
      </c>
      <c r="D59" s="671" t="s">
        <v>297</v>
      </c>
      <c r="E59" s="676"/>
      <c r="F59" s="332">
        <f>F57/F55</f>
        <v>1</v>
      </c>
      <c r="G59" s="676"/>
      <c r="H59" s="1173"/>
      <c r="I59" s="332">
        <f>I57/I55</f>
        <v>1</v>
      </c>
      <c r="J59" s="1170"/>
      <c r="K59" s="1170"/>
      <c r="L59" s="1170"/>
      <c r="M59" s="1170"/>
      <c r="N59" s="280"/>
    </row>
    <row r="60" spans="2:14" s="275" customFormat="1" ht="16">
      <c r="B60" s="279">
        <f t="shared" si="1"/>
        <v>20</v>
      </c>
      <c r="C60" s="330" t="s">
        <v>298</v>
      </c>
      <c r="D60" s="331" t="s">
        <v>299</v>
      </c>
      <c r="E60" s="331"/>
      <c r="F60" s="741">
        <f>F59*F57</f>
        <v>7.344465257782959</v>
      </c>
      <c r="G60" s="331"/>
      <c r="H60" s="331"/>
      <c r="I60" s="741">
        <f>I59*I57</f>
        <v>6.685796627328001</v>
      </c>
      <c r="J60" s="332"/>
      <c r="K60" s="332"/>
      <c r="L60" s="347"/>
      <c r="M60" s="347"/>
      <c r="N60" s="280"/>
    </row>
    <row r="61" spans="2:14" s="275" customFormat="1">
      <c r="B61" s="279"/>
      <c r="C61" s="670"/>
      <c r="D61" s="671"/>
      <c r="E61" s="671"/>
      <c r="F61" s="671"/>
      <c r="G61" s="671"/>
      <c r="H61" s="671"/>
      <c r="I61" s="332"/>
      <c r="J61" s="332"/>
      <c r="K61" s="332"/>
      <c r="L61" s="677"/>
      <c r="M61" s="677"/>
      <c r="N61" s="280"/>
    </row>
    <row r="62" spans="2:14" s="275" customFormat="1" ht="16">
      <c r="B62" s="348"/>
      <c r="C62" s="349" t="s">
        <v>300</v>
      </c>
      <c r="D62" s="350"/>
      <c r="E62" s="350"/>
      <c r="F62" s="350"/>
      <c r="G62" s="350"/>
      <c r="H62" s="350"/>
      <c r="I62" s="351"/>
      <c r="J62" s="351"/>
      <c r="K62" s="352"/>
    </row>
    <row r="63" spans="2:14" s="275" customFormat="1" ht="16">
      <c r="B63" s="279">
        <v>21</v>
      </c>
      <c r="C63" s="940" t="s">
        <v>264</v>
      </c>
      <c r="D63" s="674" t="s">
        <v>46</v>
      </c>
      <c r="E63" s="941"/>
      <c r="F63" s="942">
        <f>F33</f>
        <v>91.567276752182622</v>
      </c>
      <c r="G63" s="941"/>
      <c r="H63" s="1165"/>
      <c r="I63" s="942">
        <f>I33</f>
        <v>82.994768899999997</v>
      </c>
      <c r="J63" s="1168"/>
      <c r="K63" s="1168"/>
      <c r="L63" s="1168"/>
      <c r="M63" s="1168"/>
      <c r="N63" s="280"/>
    </row>
    <row r="64" spans="2:14" s="275" customFormat="1" ht="16">
      <c r="B64" s="279">
        <f t="shared" si="1"/>
        <v>22</v>
      </c>
      <c r="C64" s="940" t="s">
        <v>265</v>
      </c>
      <c r="D64" s="674" t="s">
        <v>47</v>
      </c>
      <c r="E64" s="675"/>
      <c r="F64" s="942">
        <f>F34</f>
        <v>57.40434662146815</v>
      </c>
      <c r="G64" s="675"/>
      <c r="H64" s="1166"/>
      <c r="I64" s="942">
        <f>I34</f>
        <v>52.2053017</v>
      </c>
      <c r="J64" s="1169"/>
      <c r="K64" s="1169"/>
      <c r="L64" s="1169"/>
      <c r="M64" s="1169"/>
      <c r="N64" s="280"/>
    </row>
    <row r="65" spans="2:14" s="275" customFormat="1" ht="16">
      <c r="B65" s="279">
        <f>B64+1</f>
        <v>23</v>
      </c>
      <c r="C65" s="943" t="s">
        <v>266</v>
      </c>
      <c r="D65" s="357" t="s">
        <v>267</v>
      </c>
      <c r="E65" s="944"/>
      <c r="F65" s="945">
        <f>F63-F64</f>
        <v>34.162930130714471</v>
      </c>
      <c r="G65" s="944"/>
      <c r="H65" s="1166"/>
      <c r="I65" s="945">
        <f>I63-I64</f>
        <v>30.789467199999997</v>
      </c>
      <c r="J65" s="1169"/>
      <c r="K65" s="1169"/>
      <c r="L65" s="1169"/>
      <c r="M65" s="1169"/>
      <c r="N65" s="280"/>
    </row>
    <row r="66" spans="2:14" s="275" customFormat="1">
      <c r="B66" s="279"/>
      <c r="C66" s="943"/>
      <c r="D66" s="357"/>
      <c r="E66" s="944"/>
      <c r="F66" s="794"/>
      <c r="G66" s="944"/>
      <c r="H66" s="1166"/>
      <c r="I66" s="794"/>
      <c r="J66" s="1169"/>
      <c r="K66" s="1169"/>
      <c r="L66" s="1169"/>
      <c r="M66" s="1169"/>
      <c r="N66" s="280"/>
    </row>
    <row r="67" spans="2:14" s="275" customFormat="1" ht="16">
      <c r="B67" s="279">
        <v>24</v>
      </c>
      <c r="C67" s="943" t="s">
        <v>301</v>
      </c>
      <c r="D67" s="674"/>
      <c r="E67" s="675"/>
      <c r="F67" s="794"/>
      <c r="G67" s="675"/>
      <c r="H67" s="1166"/>
      <c r="I67" s="794"/>
      <c r="J67" s="1169"/>
      <c r="K67" s="1169"/>
      <c r="L67" s="1169"/>
      <c r="M67" s="1169"/>
      <c r="N67" s="280"/>
    </row>
    <row r="68" spans="2:14" s="275" customFormat="1" ht="16">
      <c r="B68" s="279">
        <f t="shared" si="1"/>
        <v>25</v>
      </c>
      <c r="C68" s="959" t="s">
        <v>953</v>
      </c>
      <c r="D68" s="674"/>
      <c r="E68" s="675"/>
      <c r="F68" s="794">
        <v>7.9883000000000003E-3</v>
      </c>
      <c r="G68" s="675"/>
      <c r="H68" s="1166"/>
      <c r="I68" s="794">
        <v>0</v>
      </c>
      <c r="J68" s="1169"/>
      <c r="K68" s="1169"/>
      <c r="L68" s="1169"/>
      <c r="M68" s="1169"/>
      <c r="N68" s="280"/>
    </row>
    <row r="69" spans="2:14" s="275" customFormat="1" ht="16" hidden="1">
      <c r="B69" s="279">
        <f t="shared" si="1"/>
        <v>26</v>
      </c>
      <c r="C69" s="940" t="s">
        <v>369</v>
      </c>
      <c r="D69" s="674"/>
      <c r="E69" s="675"/>
      <c r="F69" s="794">
        <v>0</v>
      </c>
      <c r="G69" s="675"/>
      <c r="H69" s="1166"/>
      <c r="I69" s="794">
        <v>0</v>
      </c>
      <c r="J69" s="1169"/>
      <c r="K69" s="1169"/>
      <c r="L69" s="1169"/>
      <c r="M69" s="1169"/>
      <c r="N69" s="280"/>
    </row>
    <row r="70" spans="2:14" s="275" customFormat="1" hidden="1">
      <c r="B70" s="279">
        <f t="shared" si="1"/>
        <v>27</v>
      </c>
      <c r="C70" s="940"/>
      <c r="D70" s="674"/>
      <c r="E70" s="675"/>
      <c r="F70" s="794">
        <v>0</v>
      </c>
      <c r="G70" s="675"/>
      <c r="H70" s="1166"/>
      <c r="I70" s="794">
        <v>0</v>
      </c>
      <c r="J70" s="1169"/>
      <c r="K70" s="1169"/>
      <c r="L70" s="1169"/>
      <c r="M70" s="1169"/>
      <c r="N70" s="280"/>
    </row>
    <row r="71" spans="2:14" s="275" customFormat="1" hidden="1">
      <c r="B71" s="279">
        <f t="shared" si="1"/>
        <v>28</v>
      </c>
      <c r="C71" s="940"/>
      <c r="D71" s="674"/>
      <c r="E71" s="675"/>
      <c r="F71" s="794">
        <v>0</v>
      </c>
      <c r="G71" s="675"/>
      <c r="H71" s="1166"/>
      <c r="I71" s="794">
        <v>0</v>
      </c>
      <c r="J71" s="1169"/>
      <c r="K71" s="1169"/>
      <c r="L71" s="1169"/>
      <c r="M71" s="1169"/>
      <c r="N71" s="280"/>
    </row>
    <row r="72" spans="2:14" s="275" customFormat="1" ht="16">
      <c r="B72" s="279">
        <f t="shared" si="1"/>
        <v>29</v>
      </c>
      <c r="C72" s="959" t="s">
        <v>953</v>
      </c>
      <c r="D72" s="674"/>
      <c r="E72" s="675"/>
      <c r="F72" s="794">
        <v>0.24292710000000001</v>
      </c>
      <c r="G72" s="675"/>
      <c r="H72" s="1166"/>
      <c r="I72" s="794">
        <v>0.23683879999999999</v>
      </c>
      <c r="J72" s="1169"/>
      <c r="K72" s="1169"/>
      <c r="L72" s="1169"/>
      <c r="M72" s="1169"/>
      <c r="N72" s="280"/>
    </row>
    <row r="73" spans="2:14" s="275" customFormat="1" ht="16">
      <c r="B73" s="279">
        <f t="shared" si="1"/>
        <v>30</v>
      </c>
      <c r="C73" s="946" t="s">
        <v>302</v>
      </c>
      <c r="D73" s="357" t="s">
        <v>171</v>
      </c>
      <c r="E73" s="944"/>
      <c r="F73" s="945">
        <f>SUM(F68:F72)</f>
        <v>0.25091540000000001</v>
      </c>
      <c r="G73" s="944"/>
      <c r="H73" s="1166"/>
      <c r="I73" s="945">
        <f>SUM(I68:I72)</f>
        <v>0.23683879999999999</v>
      </c>
      <c r="J73" s="1169"/>
      <c r="K73" s="1169"/>
      <c r="L73" s="1169"/>
      <c r="M73" s="1169"/>
      <c r="N73" s="280"/>
    </row>
    <row r="74" spans="2:14" s="275" customFormat="1">
      <c r="B74" s="279"/>
      <c r="C74" s="940"/>
      <c r="D74" s="674"/>
      <c r="E74" s="675"/>
      <c r="F74" s="794"/>
      <c r="G74" s="675"/>
      <c r="H74" s="1166"/>
      <c r="I74" s="794"/>
      <c r="J74" s="1169"/>
      <c r="K74" s="1169"/>
      <c r="L74" s="1169"/>
      <c r="M74" s="1169"/>
      <c r="N74" s="280"/>
    </row>
    <row r="75" spans="2:14" s="275" customFormat="1" ht="16">
      <c r="B75" s="279">
        <v>31</v>
      </c>
      <c r="C75" s="943" t="s">
        <v>303</v>
      </c>
      <c r="D75" s="357"/>
      <c r="E75" s="944"/>
      <c r="F75" s="794"/>
      <c r="G75" s="944"/>
      <c r="H75" s="1166"/>
      <c r="I75" s="794"/>
      <c r="J75" s="1169"/>
      <c r="K75" s="1169"/>
      <c r="L75" s="1169"/>
      <c r="M75" s="1169"/>
      <c r="N75" s="280"/>
    </row>
    <row r="76" spans="2:14" s="275" customFormat="1" ht="16" hidden="1">
      <c r="B76" s="279">
        <f t="shared" si="1"/>
        <v>32</v>
      </c>
      <c r="C76" s="940" t="s">
        <v>369</v>
      </c>
      <c r="D76" s="674"/>
      <c r="E76" s="675"/>
      <c r="F76" s="794"/>
      <c r="G76" s="675"/>
      <c r="H76" s="1166"/>
      <c r="I76" s="794"/>
      <c r="J76" s="1169"/>
      <c r="K76" s="1169"/>
      <c r="L76" s="1169"/>
      <c r="M76" s="1169"/>
      <c r="N76" s="280"/>
    </row>
    <row r="77" spans="2:14" s="275" customFormat="1" ht="16" hidden="1">
      <c r="B77" s="279">
        <f t="shared" si="1"/>
        <v>33</v>
      </c>
      <c r="C77" s="940" t="s">
        <v>84</v>
      </c>
      <c r="D77" s="674"/>
      <c r="E77" s="675"/>
      <c r="F77" s="794"/>
      <c r="G77" s="675"/>
      <c r="H77" s="1166"/>
      <c r="I77" s="794"/>
      <c r="J77" s="1169"/>
      <c r="K77" s="1169"/>
      <c r="L77" s="1169"/>
      <c r="M77" s="1169"/>
      <c r="N77" s="280"/>
    </row>
    <row r="78" spans="2:14" s="275" customFormat="1" hidden="1">
      <c r="B78" s="279">
        <f t="shared" si="1"/>
        <v>34</v>
      </c>
      <c r="C78" s="940"/>
      <c r="D78" s="674"/>
      <c r="E78" s="675"/>
      <c r="F78" s="794"/>
      <c r="G78" s="675"/>
      <c r="H78" s="1166"/>
      <c r="I78" s="794"/>
      <c r="J78" s="1169"/>
      <c r="K78" s="1169"/>
      <c r="L78" s="1169"/>
      <c r="M78" s="1169"/>
      <c r="N78" s="280"/>
    </row>
    <row r="79" spans="2:14" s="275" customFormat="1" hidden="1">
      <c r="B79" s="279">
        <f t="shared" si="1"/>
        <v>35</v>
      </c>
      <c r="C79" s="940"/>
      <c r="D79" s="357"/>
      <c r="E79" s="944"/>
      <c r="F79" s="794"/>
      <c r="G79" s="944"/>
      <c r="H79" s="1166"/>
      <c r="I79" s="794"/>
      <c r="J79" s="1169"/>
      <c r="K79" s="1169"/>
      <c r="L79" s="1169"/>
      <c r="M79" s="1169"/>
      <c r="N79" s="280"/>
    </row>
    <row r="80" spans="2:14" s="275" customFormat="1" ht="16">
      <c r="B80" s="279">
        <f t="shared" si="1"/>
        <v>36</v>
      </c>
      <c r="C80" s="946" t="s">
        <v>302</v>
      </c>
      <c r="D80" s="357" t="s">
        <v>83</v>
      </c>
      <c r="E80" s="944"/>
      <c r="F80" s="945">
        <f>SUM(F76:F79)</f>
        <v>0</v>
      </c>
      <c r="G80" s="944"/>
      <c r="H80" s="1166"/>
      <c r="I80" s="945">
        <f>SUM(I76:I79)</f>
        <v>0</v>
      </c>
      <c r="J80" s="1169"/>
      <c r="K80" s="1169"/>
      <c r="L80" s="1169"/>
      <c r="M80" s="1169"/>
      <c r="N80" s="280"/>
    </row>
    <row r="81" spans="2:14" s="275" customFormat="1">
      <c r="B81" s="279"/>
      <c r="C81" s="943"/>
      <c r="D81" s="357"/>
      <c r="E81" s="944"/>
      <c r="F81" s="794"/>
      <c r="G81" s="944"/>
      <c r="H81" s="1166"/>
      <c r="I81" s="794"/>
      <c r="J81" s="1169"/>
      <c r="K81" s="1169"/>
      <c r="L81" s="1169"/>
      <c r="M81" s="1169"/>
      <c r="N81" s="280"/>
    </row>
    <row r="82" spans="2:14" s="275" customFormat="1" ht="16">
      <c r="B82" s="279">
        <v>37</v>
      </c>
      <c r="C82" s="943" t="s">
        <v>304</v>
      </c>
      <c r="D82" s="357" t="s">
        <v>305</v>
      </c>
      <c r="E82" s="944"/>
      <c r="F82" s="945">
        <f>F65+F73-F80</f>
        <v>34.413845530714468</v>
      </c>
      <c r="G82" s="944"/>
      <c r="H82" s="1166"/>
      <c r="I82" s="945">
        <f>I65+I73-I80</f>
        <v>31.026305999999998</v>
      </c>
      <c r="J82" s="1169"/>
      <c r="K82" s="1169"/>
      <c r="L82" s="1169"/>
      <c r="M82" s="1169"/>
      <c r="N82" s="280"/>
    </row>
    <row r="83" spans="2:14" s="275" customFormat="1">
      <c r="B83" s="279"/>
      <c r="C83" s="940"/>
      <c r="D83" s="674"/>
      <c r="E83" s="947"/>
      <c r="F83" s="794"/>
      <c r="G83" s="947"/>
      <c r="H83" s="1167"/>
      <c r="I83" s="794"/>
      <c r="J83" s="1170"/>
      <c r="K83" s="1170"/>
      <c r="L83" s="1170"/>
      <c r="M83" s="1170"/>
      <c r="N83" s="280"/>
    </row>
    <row r="84" spans="2:14" s="275" customFormat="1" ht="16">
      <c r="B84" s="279">
        <v>38</v>
      </c>
      <c r="C84" s="330" t="s">
        <v>368</v>
      </c>
      <c r="D84" s="331"/>
      <c r="E84" s="331"/>
      <c r="F84" s="742">
        <f>F82*18.5%*1.12*1.03</f>
        <v>7.344465257782959</v>
      </c>
      <c r="G84" s="331"/>
      <c r="H84" s="331"/>
      <c r="I84" s="742">
        <f>I82*18.5%*1.12*1.04</f>
        <v>6.685796627328001</v>
      </c>
      <c r="J84" s="332"/>
      <c r="K84" s="332"/>
      <c r="L84" s="347"/>
      <c r="M84" s="347"/>
      <c r="N84" s="280"/>
    </row>
    <row r="85" spans="2:14" s="275" customFormat="1">
      <c r="C85" s="327"/>
    </row>
    <row r="86" spans="2:14" s="275" customFormat="1">
      <c r="C86" s="353" t="s">
        <v>370</v>
      </c>
      <c r="D86" s="353"/>
      <c r="E86" s="353"/>
      <c r="F86" s="274"/>
      <c r="G86" s="274"/>
      <c r="H86" s="274"/>
      <c r="I86" s="274"/>
      <c r="J86" s="274"/>
    </row>
    <row r="87" spans="2:14" s="275" customFormat="1">
      <c r="C87" s="1164" t="s">
        <v>617</v>
      </c>
      <c r="D87" s="1164"/>
      <c r="E87" s="1164"/>
      <c r="F87" s="1164"/>
      <c r="G87" s="1164"/>
      <c r="H87" s="1164"/>
      <c r="I87" s="1164"/>
      <c r="J87" s="1164"/>
    </row>
    <row r="89" spans="2:14">
      <c r="B89" s="1162" t="s">
        <v>682</v>
      </c>
      <c r="C89" s="1162"/>
      <c r="D89" s="1162"/>
      <c r="E89" s="1162"/>
      <c r="F89" s="1162"/>
      <c r="G89" s="1162"/>
      <c r="H89" s="1162"/>
      <c r="I89" s="1162"/>
      <c r="J89" s="355"/>
      <c r="K89" s="355"/>
    </row>
    <row r="90" spans="2:14">
      <c r="B90" s="298"/>
      <c r="C90" s="298"/>
      <c r="D90" s="298"/>
      <c r="E90" s="298"/>
      <c r="F90" s="298"/>
      <c r="G90" s="298"/>
      <c r="H90" s="298"/>
      <c r="I90" s="298"/>
      <c r="J90" s="298"/>
      <c r="K90" s="298"/>
    </row>
    <row r="91" spans="2:14" ht="16">
      <c r="B91" s="362" t="s">
        <v>226</v>
      </c>
      <c r="C91" s="362" t="s">
        <v>4</v>
      </c>
      <c r="D91" s="339" t="s">
        <v>640</v>
      </c>
      <c r="E91" s="339" t="s">
        <v>575</v>
      </c>
      <c r="F91" s="339" t="s">
        <v>540</v>
      </c>
      <c r="G91" s="339" t="s">
        <v>541</v>
      </c>
      <c r="H91" s="362" t="s">
        <v>542</v>
      </c>
      <c r="I91" s="362" t="s">
        <v>543</v>
      </c>
      <c r="J91" s="362" t="s">
        <v>544</v>
      </c>
      <c r="K91" s="298"/>
    </row>
    <row r="92" spans="2:14">
      <c r="B92" s="309">
        <v>1</v>
      </c>
      <c r="C92" s="677" t="s">
        <v>639</v>
      </c>
      <c r="D92" s="671" t="s">
        <v>56</v>
      </c>
      <c r="E92" s="744">
        <f ca="1">'Income Tax'!G13</f>
        <v>27.788601706014074</v>
      </c>
      <c r="F92" s="678"/>
      <c r="G92" s="356"/>
      <c r="H92" s="356"/>
      <c r="I92" s="678"/>
      <c r="J92" s="356"/>
      <c r="K92" s="298"/>
    </row>
    <row r="93" spans="2:14">
      <c r="B93" s="309">
        <f>B92+1</f>
        <v>2</v>
      </c>
      <c r="C93" s="677" t="s">
        <v>576</v>
      </c>
      <c r="D93" s="671" t="s">
        <v>57</v>
      </c>
      <c r="E93" s="745">
        <f ca="1">'Income Tax'!G16</f>
        <v>6.0341719574877875</v>
      </c>
      <c r="F93" s="678"/>
      <c r="G93" s="356"/>
      <c r="H93" s="356"/>
      <c r="I93" s="678"/>
      <c r="J93" s="356"/>
      <c r="K93" s="298"/>
    </row>
    <row r="94" spans="2:14">
      <c r="B94" s="309">
        <f>B93+1</f>
        <v>3</v>
      </c>
      <c r="C94" s="677" t="s">
        <v>577</v>
      </c>
      <c r="D94" s="671" t="s">
        <v>578</v>
      </c>
      <c r="E94" s="746">
        <f ca="1">E93/E92</f>
        <v>0.21714557721635408</v>
      </c>
      <c r="F94" s="678"/>
      <c r="G94" s="356"/>
      <c r="H94" s="356"/>
      <c r="I94" s="678"/>
      <c r="J94" s="356"/>
      <c r="K94" s="298"/>
      <c r="M94" s="358"/>
    </row>
    <row r="95" spans="2:14">
      <c r="B95" s="309"/>
      <c r="C95" s="359"/>
      <c r="D95" s="359"/>
      <c r="E95" s="357"/>
      <c r="F95" s="678"/>
      <c r="G95" s="356"/>
      <c r="H95" s="356"/>
      <c r="I95" s="678"/>
      <c r="J95" s="356"/>
      <c r="K95" s="298"/>
    </row>
    <row r="96" spans="2:14">
      <c r="B96" s="309">
        <v>4</v>
      </c>
      <c r="C96" s="677" t="s">
        <v>638</v>
      </c>
      <c r="D96" s="671" t="s">
        <v>318</v>
      </c>
      <c r="E96" s="754">
        <v>0.14000000000000001</v>
      </c>
      <c r="F96" s="754">
        <v>0.14000000000000001</v>
      </c>
      <c r="G96" s="754">
        <v>0.14000000000000001</v>
      </c>
      <c r="H96" s="754">
        <v>0.14000000000000001</v>
      </c>
      <c r="I96" s="754">
        <v>0.14000000000000001</v>
      </c>
      <c r="J96" s="754">
        <v>0.14000000000000001</v>
      </c>
      <c r="K96" s="298"/>
    </row>
    <row r="97" spans="2:13">
      <c r="B97" s="309">
        <v>5</v>
      </c>
      <c r="C97" s="359" t="s">
        <v>580</v>
      </c>
      <c r="D97" s="331" t="s">
        <v>637</v>
      </c>
      <c r="E97" s="746">
        <f ca="1">E96/(1-E94)</f>
        <v>0.17883273815097447</v>
      </c>
      <c r="F97" s="746">
        <f ca="1">F96/(1-$E$94)</f>
        <v>0.17883273815097447</v>
      </c>
      <c r="G97" s="746">
        <f t="shared" ref="G97:J97" ca="1" si="2">G96/(1-$E$94)</f>
        <v>0.17883273815097447</v>
      </c>
      <c r="H97" s="746">
        <f t="shared" ca="1" si="2"/>
        <v>0.17883273815097447</v>
      </c>
      <c r="I97" s="746">
        <f t="shared" ca="1" si="2"/>
        <v>0.17883273815097447</v>
      </c>
      <c r="J97" s="746">
        <f t="shared" ca="1" si="2"/>
        <v>0.17883273815097447</v>
      </c>
      <c r="K97" s="298"/>
      <c r="M97" s="358"/>
    </row>
    <row r="98" spans="2:13">
      <c r="B98" s="298"/>
      <c r="C98" s="298"/>
      <c r="D98" s="298"/>
      <c r="E98" s="298"/>
      <c r="F98" s="298"/>
      <c r="G98" s="298"/>
      <c r="H98" s="298"/>
      <c r="I98" s="298"/>
      <c r="J98" s="298"/>
      <c r="K98" s="298"/>
      <c r="M98" s="360"/>
    </row>
    <row r="99" spans="2:13" hidden="1">
      <c r="B99" s="298"/>
      <c r="C99" s="298" t="s">
        <v>738</v>
      </c>
      <c r="D99" s="298"/>
      <c r="E99" s="298"/>
      <c r="F99" s="298"/>
      <c r="G99" s="298"/>
      <c r="H99" s="298"/>
      <c r="I99" s="298"/>
      <c r="J99" s="298"/>
      <c r="K99" s="298"/>
    </row>
    <row r="100" spans="2:13" ht="31.5" hidden="1" customHeight="1">
      <c r="B100" s="298"/>
      <c r="C100" s="1158" t="s">
        <v>581</v>
      </c>
      <c r="D100" s="1158"/>
      <c r="E100" s="1158"/>
      <c r="F100" s="1158"/>
      <c r="G100" s="1158"/>
      <c r="H100" s="1158"/>
      <c r="I100" s="1158"/>
      <c r="J100" s="298"/>
      <c r="K100" s="298"/>
    </row>
    <row r="101" spans="2:13" hidden="1">
      <c r="B101" s="298"/>
      <c r="C101" s="298" t="s">
        <v>582</v>
      </c>
      <c r="D101" s="298"/>
      <c r="E101" s="298"/>
      <c r="F101" s="298"/>
      <c r="G101" s="298"/>
      <c r="H101" s="298"/>
      <c r="I101" s="298"/>
      <c r="J101" s="298"/>
      <c r="K101" s="298"/>
    </row>
    <row r="102" spans="2:13" hidden="1">
      <c r="B102" s="298"/>
      <c r="C102" s="298" t="s">
        <v>924</v>
      </c>
      <c r="D102" s="298"/>
      <c r="E102" s="298"/>
      <c r="F102" s="298"/>
      <c r="G102" s="298"/>
      <c r="H102" s="298"/>
      <c r="I102" s="298"/>
      <c r="J102" s="298"/>
      <c r="K102" s="298"/>
    </row>
  </sheetData>
  <mergeCells count="35">
    <mergeCell ref="B2:N2"/>
    <mergeCell ref="B3:N3"/>
    <mergeCell ref="B4:N4"/>
    <mergeCell ref="K63:K83"/>
    <mergeCell ref="M63:M83"/>
    <mergeCell ref="H33:H59"/>
    <mergeCell ref="J33:J59"/>
    <mergeCell ref="K33:K59"/>
    <mergeCell ref="M33:M59"/>
    <mergeCell ref="L33:L59"/>
    <mergeCell ref="L63:L83"/>
    <mergeCell ref="N7:N9"/>
    <mergeCell ref="B28:J28"/>
    <mergeCell ref="B30:B32"/>
    <mergeCell ref="C30:C32"/>
    <mergeCell ref="D30:D32"/>
    <mergeCell ref="K30:M30"/>
    <mergeCell ref="E30:G30"/>
    <mergeCell ref="N30:N31"/>
    <mergeCell ref="B7:B9"/>
    <mergeCell ref="C7:C9"/>
    <mergeCell ref="D7:D9"/>
    <mergeCell ref="H7:J7"/>
    <mergeCell ref="K7:M7"/>
    <mergeCell ref="E7:G7"/>
    <mergeCell ref="B89:I89"/>
    <mergeCell ref="C100:I100"/>
    <mergeCell ref="B16:F16"/>
    <mergeCell ref="B18:B20"/>
    <mergeCell ref="C18:C20"/>
    <mergeCell ref="D18:D20"/>
    <mergeCell ref="C87:J87"/>
    <mergeCell ref="H63:H83"/>
    <mergeCell ref="J63:J83"/>
    <mergeCell ref="H30:J30"/>
  </mergeCells>
  <pageMargins left="0.43307086614173229" right="0.43307086614173229" top="0.43307086614173229" bottom="0.43307086614173229" header="0.31496062992125984" footer="0.31496062992125984"/>
  <pageSetup paperSize="9" scale="51" orientation="landscape" r:id="rId1"/>
  <headerFoot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R21"/>
  <sheetViews>
    <sheetView showGridLines="0" view="pageBreakPreview" topLeftCell="G1" zoomScale="70" zoomScaleNormal="75" zoomScaleSheetLayoutView="70" workbookViewId="0">
      <selection activeCell="R1" sqref="R1:R1048576"/>
    </sheetView>
  </sheetViews>
  <sheetFormatPr baseColWidth="10" defaultColWidth="9.1640625" defaultRowHeight="15"/>
  <cols>
    <col min="1" max="1" width="6.83203125" style="275" customWidth="1"/>
    <col min="2" max="2" width="9.1640625" style="273" customWidth="1"/>
    <col min="3" max="3" width="36.5" style="327" customWidth="1"/>
    <col min="4" max="5" width="15.5" style="327" customWidth="1"/>
    <col min="6" max="6" width="18.6640625" style="327" customWidth="1"/>
    <col min="7" max="7" width="11.6640625" style="275" customWidth="1"/>
    <col min="8" max="8" width="17" style="275" customWidth="1"/>
    <col min="9" max="9" width="16.5" style="275" customWidth="1"/>
    <col min="10" max="10" width="13.83203125" style="275" customWidth="1"/>
    <col min="11" max="11" width="18.5" style="275" customWidth="1"/>
    <col min="12" max="12" width="17" style="275" customWidth="1"/>
    <col min="13" max="13" width="15.33203125" style="275" customWidth="1"/>
    <col min="14" max="15" width="16" style="275" customWidth="1"/>
    <col min="16" max="16" width="15.5" style="275" customWidth="1"/>
    <col min="17" max="17" width="14.83203125" style="275" customWidth="1"/>
    <col min="18" max="18" width="11.6640625" style="275" hidden="1" customWidth="1"/>
    <col min="19" max="22" width="9.1640625" style="275"/>
    <col min="23" max="23" width="21.1640625" style="275" bestFit="1" customWidth="1"/>
    <col min="24" max="25" width="14.1640625" style="275" bestFit="1" customWidth="1"/>
    <col min="26" max="30" width="14.6640625" style="275" bestFit="1" customWidth="1"/>
    <col min="31" max="16384" width="9.1640625" style="275"/>
  </cols>
  <sheetData>
    <row r="2" spans="2:18">
      <c r="B2" s="1148" t="str">
        <f>Index!B2</f>
        <v>Jaigad Power Transco Ltd</v>
      </c>
      <c r="C2" s="1148"/>
      <c r="D2" s="1148"/>
      <c r="E2" s="1148"/>
      <c r="F2" s="1148"/>
      <c r="G2" s="1148"/>
      <c r="H2" s="1148"/>
      <c r="I2" s="1148"/>
      <c r="J2" s="1148"/>
      <c r="K2" s="1148"/>
      <c r="L2" s="1148"/>
      <c r="M2" s="1148"/>
      <c r="N2" s="1148"/>
      <c r="O2" s="1148"/>
      <c r="P2" s="1148"/>
      <c r="Q2" s="1148"/>
      <c r="R2" s="1148"/>
    </row>
    <row r="3" spans="2:18" s="9" customFormat="1">
      <c r="B3" s="1149" t="s">
        <v>186</v>
      </c>
      <c r="C3" s="1149"/>
      <c r="D3" s="1149"/>
      <c r="E3" s="1149"/>
      <c r="F3" s="1149"/>
      <c r="G3" s="1149"/>
      <c r="H3" s="1149"/>
      <c r="I3" s="1149"/>
      <c r="J3" s="1149"/>
      <c r="K3" s="1149"/>
      <c r="L3" s="1149"/>
      <c r="M3" s="1149"/>
      <c r="N3" s="1149"/>
      <c r="O3" s="1149"/>
      <c r="P3" s="1149"/>
      <c r="Q3" s="1149"/>
      <c r="R3" s="1149"/>
    </row>
    <row r="4" spans="2:18" s="9" customFormat="1" ht="32.25" customHeight="1">
      <c r="B4" s="1176" t="s">
        <v>683</v>
      </c>
      <c r="C4" s="1176"/>
      <c r="D4" s="960"/>
      <c r="E4" s="960"/>
      <c r="F4" s="960"/>
      <c r="G4" s="960"/>
      <c r="H4" s="960"/>
      <c r="I4" s="960"/>
      <c r="J4" s="960"/>
      <c r="K4" s="960"/>
      <c r="L4" s="960"/>
      <c r="M4" s="960"/>
      <c r="N4" s="960"/>
      <c r="O4" s="960"/>
      <c r="P4" s="960"/>
      <c r="Q4" s="960"/>
      <c r="R4" s="960"/>
    </row>
    <row r="5" spans="2:18" s="9" customFormat="1">
      <c r="B5" s="408"/>
      <c r="C5" s="322"/>
      <c r="D5" s="322"/>
      <c r="E5" s="322"/>
      <c r="F5" s="322"/>
      <c r="G5" s="592"/>
      <c r="H5" s="592"/>
      <c r="I5" s="592"/>
      <c r="J5" s="592"/>
      <c r="K5" s="277"/>
      <c r="L5" s="277"/>
      <c r="M5" s="277"/>
      <c r="N5" s="277"/>
      <c r="O5" s="277"/>
    </row>
    <row r="6" spans="2:18" s="9" customFormat="1" ht="15" customHeight="1">
      <c r="B6" s="980" t="s">
        <v>226</v>
      </c>
      <c r="C6" s="983" t="s">
        <v>4</v>
      </c>
      <c r="D6" s="987" t="s">
        <v>213</v>
      </c>
      <c r="E6" s="988"/>
      <c r="F6" s="989"/>
      <c r="G6" s="987" t="s">
        <v>214</v>
      </c>
      <c r="H6" s="988"/>
      <c r="I6" s="989"/>
      <c r="J6" s="987" t="s">
        <v>215</v>
      </c>
      <c r="K6" s="988"/>
      <c r="L6" s="989"/>
      <c r="M6" s="983" t="s">
        <v>78</v>
      </c>
      <c r="N6" s="983"/>
      <c r="O6" s="983"/>
      <c r="P6" s="983"/>
      <c r="Q6" s="983"/>
      <c r="R6" s="983" t="s">
        <v>37</v>
      </c>
    </row>
    <row r="7" spans="2:18" ht="32">
      <c r="B7" s="981"/>
      <c r="C7" s="983"/>
      <c r="D7" s="362" t="s">
        <v>313</v>
      </c>
      <c r="E7" s="362" t="s">
        <v>311</v>
      </c>
      <c r="F7" s="362" t="s">
        <v>312</v>
      </c>
      <c r="G7" s="362" t="s">
        <v>313</v>
      </c>
      <c r="H7" s="362" t="s">
        <v>311</v>
      </c>
      <c r="I7" s="362" t="s">
        <v>312</v>
      </c>
      <c r="J7" s="362" t="s">
        <v>313</v>
      </c>
      <c r="K7" s="362" t="s">
        <v>58</v>
      </c>
      <c r="L7" s="362" t="s">
        <v>316</v>
      </c>
      <c r="M7" s="362" t="s">
        <v>540</v>
      </c>
      <c r="N7" s="362" t="s">
        <v>541</v>
      </c>
      <c r="O7" s="362" t="s">
        <v>542</v>
      </c>
      <c r="P7" s="362" t="s">
        <v>543</v>
      </c>
      <c r="Q7" s="362" t="s">
        <v>544</v>
      </c>
      <c r="R7" s="983"/>
    </row>
    <row r="8" spans="2:18" ht="30" customHeight="1">
      <c r="B8" s="998"/>
      <c r="C8" s="1111"/>
      <c r="D8" s="362" t="s">
        <v>56</v>
      </c>
      <c r="E8" s="362" t="s">
        <v>57</v>
      </c>
      <c r="F8" s="362" t="s">
        <v>317</v>
      </c>
      <c r="G8" s="362" t="s">
        <v>318</v>
      </c>
      <c r="H8" s="362" t="s">
        <v>319</v>
      </c>
      <c r="I8" s="362" t="s">
        <v>545</v>
      </c>
      <c r="J8" s="362" t="s">
        <v>546</v>
      </c>
      <c r="K8" s="362" t="s">
        <v>547</v>
      </c>
      <c r="L8" s="362" t="s">
        <v>567</v>
      </c>
      <c r="M8" s="362" t="s">
        <v>86</v>
      </c>
      <c r="N8" s="362" t="s">
        <v>86</v>
      </c>
      <c r="O8" s="362" t="s">
        <v>86</v>
      </c>
      <c r="P8" s="362" t="s">
        <v>86</v>
      </c>
      <c r="Q8" s="362" t="s">
        <v>86</v>
      </c>
      <c r="R8" s="1111"/>
    </row>
    <row r="9" spans="2:18" ht="16">
      <c r="B9" s="323">
        <v>1</v>
      </c>
      <c r="C9" s="324" t="s">
        <v>504</v>
      </c>
      <c r="D9" s="727">
        <f>SUM('G Sec Investment'!C22:H22)</f>
        <v>7.3899999999999988</v>
      </c>
      <c r="E9" s="727">
        <f>D9</f>
        <v>7.3899999999999988</v>
      </c>
      <c r="F9" s="727">
        <f>E9-D9</f>
        <v>0</v>
      </c>
      <c r="G9" s="728">
        <f>D14</f>
        <v>8.77</v>
      </c>
      <c r="H9" s="728">
        <f>E14</f>
        <v>8.7668242062499999</v>
      </c>
      <c r="I9" s="727">
        <f>H9-G9</f>
        <v>-3.1757937499996558E-3</v>
      </c>
      <c r="J9" s="728">
        <f>G14</f>
        <v>10.149999999999999</v>
      </c>
      <c r="K9" s="729">
        <f>H14</f>
        <v>10.144787331</v>
      </c>
      <c r="L9" s="727">
        <f>K9-J9</f>
        <v>-5.2126689999987263E-3</v>
      </c>
      <c r="M9" s="736">
        <f>K14</f>
        <v>11.522749803250001</v>
      </c>
      <c r="N9" s="736">
        <f>M14</f>
        <v>12.900862275500002</v>
      </c>
      <c r="O9" s="736">
        <f t="shared" ref="O9:Q9" si="0">N14</f>
        <v>14.285899747750001</v>
      </c>
      <c r="P9" s="736">
        <f t="shared" si="0"/>
        <v>15.670987220000001</v>
      </c>
      <c r="Q9" s="736">
        <f t="shared" si="0"/>
        <v>17.056124692250002</v>
      </c>
      <c r="R9" s="319"/>
    </row>
    <row r="10" spans="2:18" ht="15" customHeight="1">
      <c r="B10" s="323">
        <f t="shared" ref="B10:B12" si="1">B9+1</f>
        <v>2</v>
      </c>
      <c r="C10" s="324" t="s">
        <v>502</v>
      </c>
      <c r="D10" s="727">
        <f>'F4'!D22</f>
        <v>550.72968250000008</v>
      </c>
      <c r="E10" s="727">
        <f>'F4'!D22</f>
        <v>550.72968250000008</v>
      </c>
      <c r="F10" s="727">
        <f t="shared" ref="F10:F13" si="2">E10-D10</f>
        <v>0</v>
      </c>
      <c r="G10" s="728">
        <f>D10+'F3'!D14</f>
        <v>551.22968250000008</v>
      </c>
      <c r="H10" s="728">
        <f>E10+'F3'!E14</f>
        <v>551.18524990000003</v>
      </c>
      <c r="I10" s="727">
        <f t="shared" ref="I10:I13" si="3">H10-G10</f>
        <v>-4.4432600000050115E-2</v>
      </c>
      <c r="J10" s="728">
        <f>G10+'F3'!G14</f>
        <v>551.22968250000008</v>
      </c>
      <c r="K10" s="729">
        <f>H10+'F3'!H14-'F4'!K22</f>
        <v>551.18498890000001</v>
      </c>
      <c r="L10" s="727">
        <f t="shared" ref="L10:L13" si="4">K10-J10</f>
        <v>-4.4693600000073275E-2</v>
      </c>
      <c r="M10" s="736">
        <f>K10+'F3'!M14</f>
        <v>551.24498889999995</v>
      </c>
      <c r="N10" s="736">
        <f>M10+'F3'!O14</f>
        <v>554.01498889999993</v>
      </c>
      <c r="O10" s="736">
        <f>N10+'F3'!P14</f>
        <v>554.03498889999992</v>
      </c>
      <c r="P10" s="736">
        <f>O10+'F3'!Q14</f>
        <v>554.0549888999999</v>
      </c>
      <c r="Q10" s="736">
        <f>P10+'F3'!R14</f>
        <v>554.07498889999988</v>
      </c>
      <c r="R10" s="319"/>
    </row>
    <row r="11" spans="2:18" ht="32">
      <c r="B11" s="323">
        <f t="shared" si="1"/>
        <v>3</v>
      </c>
      <c r="C11" s="324" t="s">
        <v>503</v>
      </c>
      <c r="D11" s="732">
        <f>D9/D10</f>
        <v>1.3418561292090875E-2</v>
      </c>
      <c r="E11" s="732">
        <f>E9/E10</f>
        <v>1.3418561292090875E-2</v>
      </c>
      <c r="F11" s="727">
        <f t="shared" si="2"/>
        <v>0</v>
      </c>
      <c r="G11" s="732">
        <f>G9/G10</f>
        <v>1.5909883445001164E-2</v>
      </c>
      <c r="H11" s="732">
        <f>H9/H10</f>
        <v>1.5905404231772422E-2</v>
      </c>
      <c r="I11" s="727"/>
      <c r="J11" s="732">
        <f t="shared" ref="J11:K11" si="5">J9/J10</f>
        <v>1.8413377077167822E-2</v>
      </c>
      <c r="K11" s="732">
        <f t="shared" si="5"/>
        <v>1.8405412947195738E-2</v>
      </c>
      <c r="L11" s="732">
        <f t="shared" ref="L11" si="6">L9/L10</f>
        <v>0.11663121789227496</v>
      </c>
      <c r="M11" s="732">
        <f t="shared" ref="M11" si="7">M9/M10</f>
        <v>2.090313750741472E-2</v>
      </c>
      <c r="N11" s="732">
        <f t="shared" ref="N11" si="8">N9/N10</f>
        <v>2.3286124985742247E-2</v>
      </c>
      <c r="O11" s="732">
        <f t="shared" ref="O11" si="9">O9/O10</f>
        <v>2.5785194137492501E-2</v>
      </c>
      <c r="P11" s="732">
        <f t="shared" ref="P11" si="10">P9/P10</f>
        <v>2.8284173112695175E-2</v>
      </c>
      <c r="Q11" s="732">
        <f t="shared" ref="Q11" si="11">Q9/Q10</f>
        <v>3.0783061921115358E-2</v>
      </c>
      <c r="R11" s="319"/>
    </row>
    <row r="12" spans="2:18" ht="32">
      <c r="B12" s="323">
        <f t="shared" si="1"/>
        <v>4</v>
      </c>
      <c r="C12" s="324" t="s">
        <v>500</v>
      </c>
      <c r="D12" s="733">
        <v>1.38</v>
      </c>
      <c r="E12" s="727">
        <f>E10*0.25%</f>
        <v>1.3768242062500002</v>
      </c>
      <c r="F12" s="727">
        <f t="shared" si="2"/>
        <v>-3.1757937499996558E-3</v>
      </c>
      <c r="G12" s="734">
        <v>1.38</v>
      </c>
      <c r="H12" s="727">
        <f>H10*0.25%</f>
        <v>1.3779631247500002</v>
      </c>
      <c r="I12" s="727">
        <f t="shared" si="3"/>
        <v>-2.0368752499997367E-3</v>
      </c>
      <c r="J12" s="734">
        <v>1.38</v>
      </c>
      <c r="K12" s="727">
        <f>K10*0.25%</f>
        <v>1.3779624722500001</v>
      </c>
      <c r="L12" s="727">
        <f t="shared" si="4"/>
        <v>-2.0375277499997679E-3</v>
      </c>
      <c r="M12" s="727">
        <f>M10*0.25%</f>
        <v>1.37811247225</v>
      </c>
      <c r="N12" s="727">
        <f>N10*0.25%</f>
        <v>1.3850374722499998</v>
      </c>
      <c r="O12" s="727">
        <f>O10*0.25%</f>
        <v>1.3850874722499997</v>
      </c>
      <c r="P12" s="727">
        <f>P10*0.25%</f>
        <v>1.3851374722499998</v>
      </c>
      <c r="Q12" s="727">
        <f>Q10*0.25%</f>
        <v>1.3851874722499997</v>
      </c>
      <c r="R12" s="319"/>
    </row>
    <row r="13" spans="2:18" ht="32">
      <c r="B13" s="323">
        <f t="shared" ref="B13:B15" si="12">B12+1</f>
        <v>5</v>
      </c>
      <c r="C13" s="324" t="s">
        <v>501</v>
      </c>
      <c r="D13" s="733">
        <v>0</v>
      </c>
      <c r="E13" s="733">
        <v>0</v>
      </c>
      <c r="F13" s="727">
        <f t="shared" si="2"/>
        <v>0</v>
      </c>
      <c r="G13" s="734"/>
      <c r="H13" s="735"/>
      <c r="I13" s="727">
        <f t="shared" si="3"/>
        <v>0</v>
      </c>
      <c r="J13" s="734"/>
      <c r="K13" s="735"/>
      <c r="L13" s="727">
        <f t="shared" si="4"/>
        <v>0</v>
      </c>
      <c r="M13" s="730"/>
      <c r="N13" s="730"/>
      <c r="O13" s="730"/>
      <c r="P13" s="730"/>
      <c r="Q13" s="731"/>
      <c r="R13" s="319"/>
    </row>
    <row r="14" spans="2:18" ht="16">
      <c r="B14" s="323">
        <f t="shared" si="12"/>
        <v>6</v>
      </c>
      <c r="C14" s="324" t="s">
        <v>505</v>
      </c>
      <c r="D14" s="733">
        <f>D9+D12</f>
        <v>8.77</v>
      </c>
      <c r="E14" s="733">
        <f t="shared" ref="E14:Q14" si="13">E9+E12</f>
        <v>8.7668242062499999</v>
      </c>
      <c r="F14" s="733">
        <f t="shared" si="13"/>
        <v>-3.1757937499996558E-3</v>
      </c>
      <c r="G14" s="733">
        <f t="shared" si="13"/>
        <v>10.149999999999999</v>
      </c>
      <c r="H14" s="733">
        <f t="shared" si="13"/>
        <v>10.144787331</v>
      </c>
      <c r="I14" s="733">
        <f t="shared" si="13"/>
        <v>-5.2126689999993925E-3</v>
      </c>
      <c r="J14" s="733">
        <f t="shared" si="13"/>
        <v>11.529999999999998</v>
      </c>
      <c r="K14" s="733">
        <f t="shared" si="13"/>
        <v>11.522749803250001</v>
      </c>
      <c r="L14" s="733">
        <f t="shared" si="13"/>
        <v>-7.2501967499984943E-3</v>
      </c>
      <c r="M14" s="733">
        <f t="shared" si="13"/>
        <v>12.900862275500002</v>
      </c>
      <c r="N14" s="733">
        <f t="shared" si="13"/>
        <v>14.285899747750001</v>
      </c>
      <c r="O14" s="733">
        <f t="shared" si="13"/>
        <v>15.670987220000001</v>
      </c>
      <c r="P14" s="733">
        <f t="shared" si="13"/>
        <v>17.056124692250002</v>
      </c>
      <c r="Q14" s="733">
        <f t="shared" si="13"/>
        <v>18.441312164500001</v>
      </c>
      <c r="R14" s="319"/>
    </row>
    <row r="15" spans="2:18" ht="32">
      <c r="B15" s="323">
        <f t="shared" si="12"/>
        <v>7</v>
      </c>
      <c r="C15" s="324" t="s">
        <v>506</v>
      </c>
      <c r="D15" s="732">
        <f>D14/D10</f>
        <v>1.5924327812129498E-2</v>
      </c>
      <c r="E15" s="732">
        <f t="shared" ref="E15:Q15" si="14">E14/E10</f>
        <v>1.5918561292090877E-2</v>
      </c>
      <c r="F15" s="732" t="e">
        <f t="shared" si="14"/>
        <v>#DIV/0!</v>
      </c>
      <c r="G15" s="732">
        <f t="shared" si="14"/>
        <v>1.8413377077167822E-2</v>
      </c>
      <c r="H15" s="732">
        <f t="shared" si="14"/>
        <v>1.8405404231772421E-2</v>
      </c>
      <c r="I15" s="732">
        <f t="shared" si="14"/>
        <v>0.11731631729841407</v>
      </c>
      <c r="J15" s="732">
        <f t="shared" si="14"/>
        <v>2.0916870709334481E-2</v>
      </c>
      <c r="K15" s="732">
        <f t="shared" si="14"/>
        <v>2.090541294719574E-2</v>
      </c>
      <c r="L15" s="732">
        <f t="shared" si="14"/>
        <v>0.16222002143453665</v>
      </c>
      <c r="M15" s="732">
        <f t="shared" si="14"/>
        <v>2.3403137507414722E-2</v>
      </c>
      <c r="N15" s="732">
        <f t="shared" si="14"/>
        <v>2.5786124985742245E-2</v>
      </c>
      <c r="O15" s="732">
        <f t="shared" si="14"/>
        <v>2.82851941374925E-2</v>
      </c>
      <c r="P15" s="732">
        <f t="shared" si="14"/>
        <v>3.0784173112695178E-2</v>
      </c>
      <c r="Q15" s="732">
        <f t="shared" si="14"/>
        <v>3.328306192111536E-2</v>
      </c>
      <c r="R15" s="319"/>
    </row>
    <row r="16" spans="2:18">
      <c r="B16" s="325"/>
      <c r="C16" s="326"/>
      <c r="D16" s="326"/>
      <c r="E16" s="326"/>
      <c r="F16" s="326"/>
      <c r="G16" s="5"/>
      <c r="H16" s="5"/>
      <c r="I16" s="5"/>
      <c r="J16" s="5"/>
      <c r="K16" s="5"/>
      <c r="L16" s="5"/>
      <c r="M16" s="5"/>
      <c r="N16" s="5"/>
      <c r="O16" s="5"/>
      <c r="P16" s="5"/>
      <c r="Q16" s="5"/>
      <c r="R16" s="5"/>
    </row>
    <row r="17" spans="2:18" hidden="1">
      <c r="B17" s="274" t="s">
        <v>736</v>
      </c>
      <c r="C17" s="326"/>
      <c r="D17" s="326"/>
      <c r="E17" s="326"/>
      <c r="F17" s="326"/>
      <c r="G17" s="5"/>
      <c r="H17" s="5"/>
      <c r="I17" s="5"/>
      <c r="J17" s="5"/>
      <c r="K17" s="5"/>
      <c r="L17" s="5"/>
      <c r="M17" s="5"/>
      <c r="N17" s="5"/>
      <c r="O17" s="5"/>
      <c r="P17" s="5"/>
      <c r="Q17" s="5"/>
      <c r="R17" s="5"/>
    </row>
    <row r="18" spans="2:18" hidden="1">
      <c r="C18" s="1175" t="s">
        <v>513</v>
      </c>
      <c r="D18" s="1175"/>
      <c r="E18" s="1175"/>
      <c r="F18" s="1175"/>
      <c r="G18" s="1175"/>
      <c r="H18" s="1175"/>
      <c r="I18" s="1175"/>
      <c r="J18" s="1175"/>
    </row>
    <row r="19" spans="2:18">
      <c r="C19" s="1175"/>
      <c r="D19" s="1175"/>
      <c r="E19" s="1175"/>
      <c r="F19" s="1175"/>
      <c r="G19" s="1175"/>
      <c r="H19" s="1175"/>
      <c r="I19" s="1175"/>
      <c r="J19" s="1175"/>
      <c r="K19" s="1175"/>
      <c r="L19" s="1175"/>
    </row>
    <row r="20" spans="2:18">
      <c r="C20" s="1175"/>
      <c r="D20" s="1175"/>
      <c r="E20" s="1175"/>
      <c r="F20" s="1175"/>
      <c r="G20" s="1175"/>
      <c r="H20" s="1175"/>
      <c r="I20" s="1175"/>
      <c r="J20" s="1175"/>
      <c r="K20" s="1175"/>
    </row>
    <row r="21" spans="2:18">
      <c r="E21" s="815"/>
      <c r="H21" s="764"/>
      <c r="K21" s="764"/>
    </row>
  </sheetData>
  <mergeCells count="13">
    <mergeCell ref="B2:R2"/>
    <mergeCell ref="B3:R3"/>
    <mergeCell ref="B6:B8"/>
    <mergeCell ref="C6:C8"/>
    <mergeCell ref="G6:I6"/>
    <mergeCell ref="J6:L6"/>
    <mergeCell ref="D6:F6"/>
    <mergeCell ref="B4:C4"/>
    <mergeCell ref="C19:L19"/>
    <mergeCell ref="C20:K20"/>
    <mergeCell ref="C18:J18"/>
    <mergeCell ref="M6:Q6"/>
    <mergeCell ref="R6:R8"/>
  </mergeCells>
  <pageMargins left="0.43307086614173229" right="0.43307086614173229" top="0.43307086614173229" bottom="0.43307086614173229" header="0.31496062992125984" footer="0.31496062992125984"/>
  <pageSetup paperSize="9" scale="68" fitToWidth="2" fitToHeight="2" orientation="landscape" r:id="rId1"/>
  <headerFooter>
    <oddFooter>&amp;CPage. &amp;P</oddFooter>
  </headerFooter>
  <colBreaks count="1" manualBreakCount="1">
    <brk id="11" max="14"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2:U39"/>
  <sheetViews>
    <sheetView showGridLines="0" view="pageBreakPreview" topLeftCell="A29" zoomScale="70" zoomScaleNormal="60" zoomScaleSheetLayoutView="70" workbookViewId="0">
      <selection activeCell="A29" sqref="A29"/>
    </sheetView>
  </sheetViews>
  <sheetFormatPr baseColWidth="10" defaultColWidth="9.1640625" defaultRowHeight="15"/>
  <cols>
    <col min="1" max="1" width="6.83203125" style="363" customWidth="1"/>
    <col min="2" max="2" width="5.83203125" style="566" customWidth="1"/>
    <col min="3" max="3" width="69.5" style="968" customWidth="1"/>
    <col min="4" max="4" width="13.5" style="363" bestFit="1" customWidth="1"/>
    <col min="5" max="5" width="14.5" style="363" customWidth="1"/>
    <col min="6" max="7" width="15.6640625" style="363" customWidth="1"/>
    <col min="8" max="8" width="14.6640625" style="363" customWidth="1"/>
    <col min="9" max="10" width="15.6640625" style="363" customWidth="1"/>
    <col min="11" max="11" width="15.1640625" style="363" customWidth="1"/>
    <col min="12" max="20" width="15.6640625" style="363" customWidth="1"/>
    <col min="21" max="21" width="11.83203125" style="363" customWidth="1"/>
    <col min="22" max="16384" width="9.1640625" style="363"/>
  </cols>
  <sheetData>
    <row r="2" spans="2:21" s="557" customFormat="1" ht="16">
      <c r="B2" s="976" t="str">
        <f>Index!B2</f>
        <v>Jaigad Power Transco Ltd</v>
      </c>
      <c r="C2" s="976"/>
      <c r="D2" s="976"/>
      <c r="E2" s="898"/>
      <c r="F2" s="898"/>
      <c r="G2" s="898"/>
      <c r="H2" s="898"/>
      <c r="I2" s="898"/>
      <c r="J2" s="898"/>
      <c r="K2" s="898"/>
      <c r="L2" s="898"/>
      <c r="M2" s="898"/>
      <c r="N2" s="898"/>
      <c r="O2" s="898"/>
      <c r="P2" s="898"/>
      <c r="Q2" s="898"/>
      <c r="R2" s="898"/>
      <c r="S2" s="898"/>
      <c r="T2" s="898"/>
      <c r="U2" s="898"/>
    </row>
    <row r="3" spans="2:21" s="557" customFormat="1" ht="16">
      <c r="B3" s="977" t="s">
        <v>186</v>
      </c>
      <c r="C3" s="977"/>
      <c r="D3" s="977"/>
      <c r="E3" s="899"/>
      <c r="F3" s="899"/>
      <c r="G3" s="899"/>
      <c r="H3" s="899"/>
      <c r="I3" s="899"/>
      <c r="J3" s="899"/>
      <c r="K3" s="899"/>
      <c r="L3" s="899"/>
      <c r="M3" s="899"/>
      <c r="N3" s="899"/>
      <c r="O3" s="899"/>
      <c r="P3" s="899"/>
      <c r="Q3" s="899"/>
      <c r="R3" s="899"/>
      <c r="S3" s="899"/>
      <c r="T3" s="899"/>
      <c r="U3" s="899"/>
    </row>
    <row r="4" spans="2:21" s="557" customFormat="1" ht="16">
      <c r="B4" s="976" t="s">
        <v>90</v>
      </c>
      <c r="C4" s="976"/>
      <c r="D4" s="976"/>
      <c r="E4" s="898"/>
      <c r="F4" s="898"/>
      <c r="G4" s="898"/>
      <c r="H4" s="898"/>
      <c r="I4" s="898"/>
      <c r="J4" s="898"/>
      <c r="K4" s="898"/>
      <c r="L4" s="898"/>
      <c r="M4" s="898"/>
      <c r="N4" s="898"/>
      <c r="O4" s="898"/>
      <c r="P4" s="898"/>
      <c r="Q4" s="898"/>
      <c r="R4" s="898"/>
      <c r="S4" s="898"/>
      <c r="T4" s="898"/>
      <c r="U4" s="898"/>
    </row>
    <row r="6" spans="2:21" s="275" customFormat="1">
      <c r="B6" s="980" t="s">
        <v>226</v>
      </c>
      <c r="C6" s="983" t="s">
        <v>4</v>
      </c>
      <c r="D6" s="985" t="s">
        <v>18</v>
      </c>
      <c r="E6" s="987" t="s">
        <v>213</v>
      </c>
      <c r="F6" s="988"/>
      <c r="G6" s="989"/>
      <c r="H6" s="987" t="s">
        <v>214</v>
      </c>
      <c r="I6" s="988"/>
      <c r="J6" s="989"/>
      <c r="K6" s="987" t="s">
        <v>215</v>
      </c>
      <c r="L6" s="988"/>
      <c r="M6" s="988"/>
      <c r="N6" s="988"/>
      <c r="O6" s="989"/>
      <c r="P6" s="978" t="s">
        <v>78</v>
      </c>
      <c r="Q6" s="978"/>
      <c r="R6" s="978"/>
      <c r="S6" s="978"/>
      <c r="T6" s="978"/>
      <c r="U6" s="978" t="s">
        <v>37</v>
      </c>
    </row>
    <row r="7" spans="2:21" s="275" customFormat="1" ht="32">
      <c r="B7" s="981"/>
      <c r="C7" s="983"/>
      <c r="D7" s="985"/>
      <c r="E7" s="362" t="s">
        <v>313</v>
      </c>
      <c r="F7" s="362" t="s">
        <v>311</v>
      </c>
      <c r="G7" s="362" t="s">
        <v>312</v>
      </c>
      <c r="H7" s="362" t="s">
        <v>313</v>
      </c>
      <c r="I7" s="362" t="s">
        <v>311</v>
      </c>
      <c r="J7" s="362" t="s">
        <v>312</v>
      </c>
      <c r="K7" s="362" t="s">
        <v>313</v>
      </c>
      <c r="L7" s="362" t="s">
        <v>314</v>
      </c>
      <c r="M7" s="362" t="s">
        <v>315</v>
      </c>
      <c r="N7" s="362" t="s">
        <v>58</v>
      </c>
      <c r="O7" s="362" t="s">
        <v>316</v>
      </c>
      <c r="P7" s="362" t="s">
        <v>540</v>
      </c>
      <c r="Q7" s="362" t="s">
        <v>541</v>
      </c>
      <c r="R7" s="362" t="s">
        <v>542</v>
      </c>
      <c r="S7" s="362" t="s">
        <v>543</v>
      </c>
      <c r="T7" s="362" t="s">
        <v>544</v>
      </c>
      <c r="U7" s="978"/>
    </row>
    <row r="8" spans="2:21" s="275" customFormat="1" ht="16">
      <c r="B8" s="982"/>
      <c r="C8" s="984"/>
      <c r="D8" s="986"/>
      <c r="E8" s="362" t="s">
        <v>56</v>
      </c>
      <c r="F8" s="362" t="s">
        <v>57</v>
      </c>
      <c r="G8" s="362" t="s">
        <v>317</v>
      </c>
      <c r="H8" s="362" t="s">
        <v>318</v>
      </c>
      <c r="I8" s="362" t="s">
        <v>319</v>
      </c>
      <c r="J8" s="362" t="s">
        <v>545</v>
      </c>
      <c r="K8" s="362" t="s">
        <v>546</v>
      </c>
      <c r="L8" s="362" t="s">
        <v>547</v>
      </c>
      <c r="M8" s="362" t="s">
        <v>548</v>
      </c>
      <c r="N8" s="362" t="s">
        <v>549</v>
      </c>
      <c r="O8" s="362" t="s">
        <v>550</v>
      </c>
      <c r="P8" s="362" t="s">
        <v>86</v>
      </c>
      <c r="Q8" s="362" t="s">
        <v>86</v>
      </c>
      <c r="R8" s="362" t="s">
        <v>86</v>
      </c>
      <c r="S8" s="362" t="s">
        <v>86</v>
      </c>
      <c r="T8" s="362" t="s">
        <v>86</v>
      </c>
      <c r="U8" s="979"/>
    </row>
    <row r="9" spans="2:21" ht="17">
      <c r="B9" s="564">
        <v>1</v>
      </c>
      <c r="C9" s="625" t="s">
        <v>34</v>
      </c>
      <c r="D9" s="559" t="s">
        <v>63</v>
      </c>
      <c r="E9" s="608">
        <v>4.4400000000000004</v>
      </c>
      <c r="F9" s="608">
        <f>'F2'!F14</f>
        <v>4.2770514790000007</v>
      </c>
      <c r="G9" s="608">
        <f>F9-E9</f>
        <v>-0.16294852099999968</v>
      </c>
      <c r="H9" s="608">
        <f>'F2'!H14</f>
        <v>4.7872000000000003</v>
      </c>
      <c r="I9" s="608">
        <f>'F2'!I14</f>
        <v>3.9119548000000002</v>
      </c>
      <c r="J9" s="608">
        <f t="shared" ref="J9:J14" si="0">I9-H9</f>
        <v>-0.87524520000000017</v>
      </c>
      <c r="K9" s="588">
        <f>'F2'!K14</f>
        <v>5.0167999999999999</v>
      </c>
      <c r="L9" s="897">
        <f>'F2'!L14</f>
        <v>1.9542531736871527</v>
      </c>
      <c r="M9" s="897">
        <f>'F2'!M14</f>
        <v>3.0693958086871529</v>
      </c>
      <c r="N9" s="588">
        <f>L9+M9</f>
        <v>5.023648982374306</v>
      </c>
      <c r="O9" s="588">
        <f>N9-K9</f>
        <v>6.8489823743060896E-3</v>
      </c>
      <c r="P9" s="588">
        <f>'F2'!P14</f>
        <v>5.2835999999999999</v>
      </c>
      <c r="Q9" s="588">
        <f>'F2'!Q14</f>
        <v>5.4354000000000005</v>
      </c>
      <c r="R9" s="588">
        <f>'F2'!R14</f>
        <v>5.6246</v>
      </c>
      <c r="S9" s="588">
        <f>'F2'!S14</f>
        <v>5.0686</v>
      </c>
      <c r="T9" s="588">
        <f>'F2'!T14</f>
        <v>5.2674000000000003</v>
      </c>
      <c r="U9" s="317"/>
    </row>
    <row r="10" spans="2:21" ht="17">
      <c r="B10" s="564">
        <f>B9+1</f>
        <v>2</v>
      </c>
      <c r="C10" s="625" t="s">
        <v>184</v>
      </c>
      <c r="D10" s="559" t="s">
        <v>25</v>
      </c>
      <c r="E10" s="608">
        <f>'F13'!D12</f>
        <v>29.1</v>
      </c>
      <c r="F10" s="608">
        <f>'F4'!E53</f>
        <v>29.096818923540006</v>
      </c>
      <c r="G10" s="608">
        <f t="shared" ref="G10:G25" si="1">F10-E10</f>
        <v>-3.1810764599953245E-3</v>
      </c>
      <c r="H10" s="608">
        <v>29.12</v>
      </c>
      <c r="I10" s="608">
        <f>'F4'!J53-'F4'!K53</f>
        <v>29.10848367089001</v>
      </c>
      <c r="J10" s="608">
        <f t="shared" si="0"/>
        <v>-1.1516329109991119E-2</v>
      </c>
      <c r="K10" s="588">
        <v>29.16</v>
      </c>
      <c r="L10" s="897">
        <f>'F4'!AD53/2</f>
        <v>14.554609608870003</v>
      </c>
      <c r="M10" s="897">
        <f>'F4'!AD53/2+'F4'!AE53</f>
        <v>14.556942108870002</v>
      </c>
      <c r="N10" s="588">
        <f>'F4'!O53</f>
        <v>29.105643985740006</v>
      </c>
      <c r="O10" s="588">
        <f t="shared" ref="O10:O18" si="2">N10-K10</f>
        <v>-5.4356014259994367E-2</v>
      </c>
      <c r="P10" s="588">
        <f>'F4'!T53</f>
        <v>29.149703557740004</v>
      </c>
      <c r="Q10" s="588">
        <f>'F4'!E66</f>
        <v>29.186589397740008</v>
      </c>
      <c r="R10" s="588">
        <f>'F4'!J66</f>
        <v>29.179214665740009</v>
      </c>
      <c r="S10" s="588">
        <f>'F4'!O66</f>
        <v>29.180147665740009</v>
      </c>
      <c r="T10" s="588">
        <f>'F4'!T66</f>
        <v>29.189106039270005</v>
      </c>
      <c r="U10" s="317"/>
    </row>
    <row r="11" spans="2:21" ht="17">
      <c r="B11" s="564">
        <f t="shared" ref="B11:B35" si="3">B10+1</f>
        <v>3</v>
      </c>
      <c r="C11" s="625" t="s">
        <v>227</v>
      </c>
      <c r="D11" s="559" t="s">
        <v>64</v>
      </c>
      <c r="E11" s="608">
        <f>'F5'!D23</f>
        <v>24.9286335</v>
      </c>
      <c r="F11" s="608">
        <f>'F5'!E23</f>
        <v>24.812270243778684</v>
      </c>
      <c r="G11" s="608">
        <f t="shared" si="1"/>
        <v>-0.11636325622131594</v>
      </c>
      <c r="H11" s="608">
        <f>'F5'!G23</f>
        <v>19.407425</v>
      </c>
      <c r="I11" s="608">
        <f>'F5'!H23</f>
        <v>19.744393784069153</v>
      </c>
      <c r="J11" s="608">
        <f t="shared" si="0"/>
        <v>0.33696878406915332</v>
      </c>
      <c r="K11" s="608">
        <f>'F5'!J23</f>
        <v>16.8017</v>
      </c>
      <c r="L11" s="897">
        <f>N11/2</f>
        <v>8.4779076453662263</v>
      </c>
      <c r="M11" s="897">
        <f>N11/2</f>
        <v>8.4779076453662263</v>
      </c>
      <c r="N11" s="588">
        <f>'F5'!K23</f>
        <v>16.955815290732453</v>
      </c>
      <c r="O11" s="588">
        <f t="shared" si="2"/>
        <v>0.15411529073245234</v>
      </c>
      <c r="P11" s="588">
        <f>'F5'!M23</f>
        <v>14.324989543074757</v>
      </c>
      <c r="Q11" s="588">
        <f>'F5'!N23</f>
        <v>11.68907059740607</v>
      </c>
      <c r="R11" s="588">
        <f>'F5'!O23</f>
        <v>8.9617782574383789</v>
      </c>
      <c r="S11" s="588">
        <f>'F5'!P23</f>
        <v>6.2347870684416868</v>
      </c>
      <c r="T11" s="588">
        <f>'F5'!Q23</f>
        <v>3.507333457732468</v>
      </c>
      <c r="U11" s="317"/>
    </row>
    <row r="12" spans="2:21" ht="17">
      <c r="B12" s="564">
        <f t="shared" si="3"/>
        <v>4</v>
      </c>
      <c r="C12" s="560" t="s">
        <v>245</v>
      </c>
      <c r="D12" s="559" t="s">
        <v>65</v>
      </c>
      <c r="E12" s="608">
        <f>'F6'!E18</f>
        <v>1.7472599999999998</v>
      </c>
      <c r="F12" s="608">
        <f>'F6'!F18</f>
        <v>1.7374923011893204</v>
      </c>
      <c r="G12" s="608">
        <f t="shared" si="1"/>
        <v>-9.7676988106794038E-3</v>
      </c>
      <c r="H12" s="608">
        <f>'F6'!G18</f>
        <v>1.3664700000000001</v>
      </c>
      <c r="I12" s="608">
        <f>'F6'!H18</f>
        <v>1.5247298533533395</v>
      </c>
      <c r="J12" s="608">
        <f t="shared" si="0"/>
        <v>0.15825985335333947</v>
      </c>
      <c r="K12" s="608">
        <f>'F6'!I18</f>
        <v>1.5063299999999999</v>
      </c>
      <c r="L12" s="897">
        <f>$N$12/2</f>
        <v>0.76109858127544783</v>
      </c>
      <c r="M12" s="897">
        <f>$N$12/2</f>
        <v>0.76109858127544783</v>
      </c>
      <c r="N12" s="588">
        <f>'F6'!J18</f>
        <v>1.5221971625508957</v>
      </c>
      <c r="O12" s="588">
        <f t="shared" si="2"/>
        <v>1.5867162550895708E-2</v>
      </c>
      <c r="P12" s="588">
        <f ca="1">'F6'!E41</f>
        <v>1.724817656486477</v>
      </c>
      <c r="Q12" s="588">
        <f ca="1">'F6'!F41</f>
        <v>1.4428785671095712</v>
      </c>
      <c r="R12" s="588">
        <f ca="1">'F6'!G41</f>
        <v>1.4123914623512668</v>
      </c>
      <c r="S12" s="588">
        <f ca="1">'F6'!H41</f>
        <v>1.3669996075234587</v>
      </c>
      <c r="T12" s="588">
        <f ca="1">'F6'!I41</f>
        <v>1.3368978903123327</v>
      </c>
      <c r="U12" s="317"/>
    </row>
    <row r="13" spans="2:21" ht="17">
      <c r="B13" s="564">
        <f t="shared" si="3"/>
        <v>5</v>
      </c>
      <c r="C13" s="625" t="s">
        <v>0</v>
      </c>
      <c r="D13" s="561" t="s">
        <v>67</v>
      </c>
      <c r="E13" s="608">
        <f>'F9'!E10</f>
        <v>5.59</v>
      </c>
      <c r="F13" s="608">
        <f ca="1">'F9'!F10</f>
        <v>6.5952084425721109</v>
      </c>
      <c r="G13" s="608">
        <f t="shared" ca="1" si="1"/>
        <v>1.0052084425721111</v>
      </c>
      <c r="H13" s="608">
        <f>'F9'!H10</f>
        <v>5.59</v>
      </c>
      <c r="I13" s="609">
        <f ca="1">'F9'!I10</f>
        <v>6.0341719574877875</v>
      </c>
      <c r="J13" s="608">
        <f t="shared" ca="1" si="0"/>
        <v>0.44417195748778759</v>
      </c>
      <c r="K13" s="608">
        <f>'F9'!K10</f>
        <v>5.59</v>
      </c>
      <c r="L13" s="897">
        <f>0.82+1.63</f>
        <v>2.4499999999999997</v>
      </c>
      <c r="M13" s="897">
        <f ca="1">N13-L13</f>
        <v>3.5841719574877877</v>
      </c>
      <c r="N13" s="588">
        <f ca="1">'F9'!L10</f>
        <v>6.0341719574877875</v>
      </c>
      <c r="O13" s="588">
        <f t="shared" ca="1" si="2"/>
        <v>0.44417195748778759</v>
      </c>
      <c r="P13" s="610"/>
      <c r="Q13" s="610"/>
      <c r="R13" s="610"/>
      <c r="S13" s="610"/>
      <c r="T13" s="610"/>
      <c r="U13" s="317"/>
    </row>
    <row r="14" spans="2:21" ht="17">
      <c r="B14" s="564">
        <f t="shared" si="3"/>
        <v>6</v>
      </c>
      <c r="C14" s="560" t="s">
        <v>1</v>
      </c>
      <c r="D14" s="561" t="s">
        <v>212</v>
      </c>
      <c r="E14" s="608">
        <f>'F10'!D12</f>
        <v>1.38</v>
      </c>
      <c r="F14" s="608">
        <f>'F10'!E12</f>
        <v>1.3768242062500002</v>
      </c>
      <c r="G14" s="608">
        <f t="shared" si="1"/>
        <v>-3.1757937499996558E-3</v>
      </c>
      <c r="H14" s="608">
        <f>'F10'!G12</f>
        <v>1.38</v>
      </c>
      <c r="I14" s="609">
        <f>'F10'!H12</f>
        <v>1.3779631247500002</v>
      </c>
      <c r="J14" s="608">
        <f t="shared" si="0"/>
        <v>-2.0368752499997367E-3</v>
      </c>
      <c r="K14" s="608">
        <f>'F10'!J12</f>
        <v>1.38</v>
      </c>
      <c r="L14" s="897">
        <v>0</v>
      </c>
      <c r="M14" s="897">
        <f>N14</f>
        <v>1.3779624722500001</v>
      </c>
      <c r="N14" s="588">
        <f>'F10'!K12</f>
        <v>1.3779624722500001</v>
      </c>
      <c r="O14" s="588">
        <f t="shared" si="2"/>
        <v>-2.0375277499997679E-3</v>
      </c>
      <c r="P14" s="588">
        <f>'F10'!M12</f>
        <v>1.37811247225</v>
      </c>
      <c r="Q14" s="588">
        <f>'F10'!N12</f>
        <v>1.3850374722499998</v>
      </c>
      <c r="R14" s="588">
        <f>'F10'!O12</f>
        <v>1.3850874722499997</v>
      </c>
      <c r="S14" s="588">
        <f>'F10'!P12</f>
        <v>1.3851374722499998</v>
      </c>
      <c r="T14" s="588">
        <f>'F10'!Q12</f>
        <v>1.3851874722499997</v>
      </c>
      <c r="U14" s="317"/>
    </row>
    <row r="15" spans="2:21" s="563" customFormat="1" ht="17">
      <c r="B15" s="564">
        <f t="shared" si="3"/>
        <v>7</v>
      </c>
      <c r="C15" s="782" t="s">
        <v>36</v>
      </c>
      <c r="D15" s="562"/>
      <c r="E15" s="611">
        <f>SUM(E9:E14)</f>
        <v>67.185893499999992</v>
      </c>
      <c r="F15" s="611">
        <f t="shared" ref="F15:T15" ca="1" si="4">SUM(F9:F14)</f>
        <v>67.895665596330133</v>
      </c>
      <c r="G15" s="611">
        <f t="shared" ca="1" si="4"/>
        <v>0.70977209633012106</v>
      </c>
      <c r="H15" s="611">
        <f t="shared" si="4"/>
        <v>61.651095000000005</v>
      </c>
      <c r="I15" s="611">
        <f t="shared" ca="1" si="4"/>
        <v>61.701697190550298</v>
      </c>
      <c r="J15" s="611">
        <f t="shared" ca="1" si="4"/>
        <v>5.0602190550289361E-2</v>
      </c>
      <c r="K15" s="611">
        <f t="shared" si="4"/>
        <v>59.454829999999994</v>
      </c>
      <c r="L15" s="611">
        <f t="shared" si="4"/>
        <v>28.197869009198829</v>
      </c>
      <c r="M15" s="611">
        <f t="shared" ca="1" si="4"/>
        <v>31.827478573936617</v>
      </c>
      <c r="N15" s="611">
        <f t="shared" ca="1" si="4"/>
        <v>60.019439851135445</v>
      </c>
      <c r="O15" s="611">
        <f t="shared" ca="1" si="4"/>
        <v>0.56460985113544759</v>
      </c>
      <c r="P15" s="611">
        <f t="shared" ca="1" si="4"/>
        <v>51.861223229551243</v>
      </c>
      <c r="Q15" s="611">
        <f t="shared" ca="1" si="4"/>
        <v>49.138976034505653</v>
      </c>
      <c r="R15" s="611">
        <f t="shared" ca="1" si="4"/>
        <v>46.563071857779654</v>
      </c>
      <c r="S15" s="611">
        <f t="shared" ca="1" si="4"/>
        <v>43.235671813955165</v>
      </c>
      <c r="T15" s="611">
        <f t="shared" ca="1" si="4"/>
        <v>40.6859248595648</v>
      </c>
      <c r="U15" s="317"/>
    </row>
    <row r="16" spans="2:21" ht="17">
      <c r="B16" s="564">
        <f t="shared" si="3"/>
        <v>8</v>
      </c>
      <c r="C16" s="625" t="s">
        <v>323</v>
      </c>
      <c r="D16" s="559" t="s">
        <v>68</v>
      </c>
      <c r="E16" s="608">
        <f>'F7'!D21</f>
        <v>21.435024999999996</v>
      </c>
      <c r="F16" s="608">
        <f>'F7'!E21</f>
        <v>21.444634961099997</v>
      </c>
      <c r="G16" s="608">
        <f t="shared" si="1"/>
        <v>9.6099611000006746E-3</v>
      </c>
      <c r="H16" s="608">
        <f>'F7'!G21</f>
        <v>21.45665</v>
      </c>
      <c r="I16" s="608">
        <f>'F7'!H21</f>
        <v>21.455226453650003</v>
      </c>
      <c r="J16" s="608">
        <f t="shared" ref="J16" si="5">I16-H16</f>
        <v>-1.4235463499971956E-3</v>
      </c>
      <c r="K16" s="608">
        <f>'F7'!J21</f>
        <v>21.5210525</v>
      </c>
      <c r="L16" s="588">
        <f>N16/2</f>
        <v>10.728310502075001</v>
      </c>
      <c r="M16" s="588">
        <f>N16/2</f>
        <v>10.728310502075001</v>
      </c>
      <c r="N16" s="588">
        <f>'F7'!K21</f>
        <v>21.456621004150001</v>
      </c>
      <c r="O16" s="588">
        <f t="shared" si="2"/>
        <v>-6.4431495849998299E-2</v>
      </c>
      <c r="P16" s="588">
        <f ca="1">'F7'!D45</f>
        <v>24.831696985344163</v>
      </c>
      <c r="Q16" s="588">
        <f ca="1">'F7'!E45</f>
        <v>24.906538486260342</v>
      </c>
      <c r="R16" s="588">
        <f ca="1">'F7'!F45</f>
        <v>24.907611482689248</v>
      </c>
      <c r="S16" s="588">
        <f ca="1">'F7'!G45</f>
        <v>24.908684479118151</v>
      </c>
      <c r="T16" s="588">
        <f ca="1">'F7'!H45</f>
        <v>24.909757475547057</v>
      </c>
      <c r="U16" s="317"/>
    </row>
    <row r="17" spans="2:21" ht="17">
      <c r="B17" s="564">
        <f t="shared" si="3"/>
        <v>9</v>
      </c>
      <c r="C17" s="782" t="s">
        <v>32</v>
      </c>
      <c r="D17" s="559"/>
      <c r="E17" s="614">
        <f>E15+E16-0.01</f>
        <v>88.610918499999983</v>
      </c>
      <c r="F17" s="614">
        <f t="shared" ref="F17:T17" ca="1" si="6">F15+F16</f>
        <v>89.340300557430126</v>
      </c>
      <c r="G17" s="614">
        <f t="shared" ca="1" si="6"/>
        <v>0.71938205743012174</v>
      </c>
      <c r="H17" s="614">
        <f t="shared" si="6"/>
        <v>83.107745000000008</v>
      </c>
      <c r="I17" s="614">
        <f t="shared" ca="1" si="6"/>
        <v>83.156923644200305</v>
      </c>
      <c r="J17" s="614">
        <f t="shared" ca="1" si="6"/>
        <v>4.9178644200292165E-2</v>
      </c>
      <c r="K17" s="614">
        <f t="shared" si="6"/>
        <v>80.975882499999997</v>
      </c>
      <c r="L17" s="614">
        <f t="shared" si="6"/>
        <v>38.92617951127383</v>
      </c>
      <c r="M17" s="614">
        <f t="shared" ca="1" si="6"/>
        <v>42.555789076011621</v>
      </c>
      <c r="N17" s="614">
        <f t="shared" ca="1" si="6"/>
        <v>81.476060855285453</v>
      </c>
      <c r="O17" s="614">
        <f t="shared" ca="1" si="6"/>
        <v>0.50017835528544929</v>
      </c>
      <c r="P17" s="614">
        <f t="shared" ca="1" si="6"/>
        <v>76.692920214895409</v>
      </c>
      <c r="Q17" s="614">
        <f t="shared" ca="1" si="6"/>
        <v>74.045514520765991</v>
      </c>
      <c r="R17" s="614">
        <f t="shared" ca="1" si="6"/>
        <v>71.470683340468895</v>
      </c>
      <c r="S17" s="614">
        <f t="shared" ca="1" si="6"/>
        <v>68.144356293073315</v>
      </c>
      <c r="T17" s="614">
        <f t="shared" ca="1" si="6"/>
        <v>65.59568233511186</v>
      </c>
      <c r="U17" s="317"/>
    </row>
    <row r="18" spans="2:21" ht="17">
      <c r="B18" s="564">
        <f t="shared" si="3"/>
        <v>10</v>
      </c>
      <c r="C18" s="625" t="s">
        <v>29</v>
      </c>
      <c r="D18" s="559" t="s">
        <v>75</v>
      </c>
      <c r="E18" s="608">
        <f>'F8'!D22</f>
        <v>0.68</v>
      </c>
      <c r="F18" s="608">
        <f>'F8'!E22</f>
        <v>0.68292399999999986</v>
      </c>
      <c r="G18" s="608">
        <f t="shared" si="1"/>
        <v>2.9239999999998156E-3</v>
      </c>
      <c r="H18" s="608">
        <f>'F8'!G22</f>
        <v>0.79</v>
      </c>
      <c r="I18" s="608">
        <f>'F8'!H22</f>
        <v>0.7973318869799999</v>
      </c>
      <c r="J18" s="608">
        <f t="shared" ref="J18" si="7">I18-H18</f>
        <v>7.3318869799998687E-3</v>
      </c>
      <c r="K18" s="608">
        <f>'F8'!J22</f>
        <v>0.91</v>
      </c>
      <c r="L18" s="588">
        <f>'F8'!K22</f>
        <v>0.45393302436579375</v>
      </c>
      <c r="M18" s="588">
        <f>'F8'!L22</f>
        <v>0.45393302436579375</v>
      </c>
      <c r="N18" s="588">
        <f>'F8'!M22</f>
        <v>0.90786604873158749</v>
      </c>
      <c r="O18" s="588">
        <f t="shared" si="2"/>
        <v>-2.1339512684125372E-3</v>
      </c>
      <c r="P18" s="588">
        <f>'F8'!O22</f>
        <v>1.0143825730556375</v>
      </c>
      <c r="Q18" s="588">
        <f>'F8'!P22</f>
        <v>1.1209048696605626</v>
      </c>
      <c r="R18" s="588">
        <f>'F8'!Q22</f>
        <v>1.2277006150154874</v>
      </c>
      <c r="S18" s="588">
        <f>'F8'!R22</f>
        <v>1.3347659441204125</v>
      </c>
      <c r="T18" s="588">
        <f>'F8'!S22</f>
        <v>1.4418351382253376</v>
      </c>
      <c r="U18" s="317"/>
    </row>
    <row r="19" spans="2:21" ht="17">
      <c r="B19" s="564">
        <f t="shared" si="3"/>
        <v>11</v>
      </c>
      <c r="C19" s="625" t="s">
        <v>30</v>
      </c>
      <c r="D19" s="559"/>
      <c r="E19" s="608"/>
      <c r="F19" s="608"/>
      <c r="G19" s="608"/>
      <c r="H19" s="608"/>
      <c r="I19" s="608"/>
      <c r="J19" s="608"/>
      <c r="K19" s="588"/>
      <c r="L19" s="588"/>
      <c r="M19" s="588"/>
      <c r="N19" s="588"/>
      <c r="O19" s="588"/>
      <c r="P19" s="588"/>
      <c r="Q19" s="588"/>
      <c r="R19" s="588"/>
      <c r="S19" s="588"/>
      <c r="T19" s="588"/>
      <c r="U19" s="317"/>
    </row>
    <row r="20" spans="2:21" ht="17">
      <c r="B20" s="564">
        <f t="shared" si="3"/>
        <v>12</v>
      </c>
      <c r="C20" s="625" t="s">
        <v>225</v>
      </c>
      <c r="D20" s="564" t="s">
        <v>307</v>
      </c>
      <c r="E20" s="612">
        <f>'F11'!D11</f>
        <v>0</v>
      </c>
      <c r="F20" s="612"/>
      <c r="G20" s="608">
        <f t="shared" si="1"/>
        <v>0</v>
      </c>
      <c r="H20" s="612"/>
      <c r="I20" s="612"/>
      <c r="J20" s="612"/>
      <c r="K20" s="588"/>
      <c r="L20" s="588"/>
      <c r="M20" s="588"/>
      <c r="N20" s="588"/>
      <c r="O20" s="588"/>
      <c r="P20" s="588"/>
      <c r="Q20" s="588"/>
      <c r="R20" s="588"/>
      <c r="S20" s="588"/>
      <c r="T20" s="588"/>
      <c r="U20" s="317"/>
    </row>
    <row r="21" spans="2:21" ht="17">
      <c r="B21" s="564">
        <f t="shared" si="3"/>
        <v>13</v>
      </c>
      <c r="C21" s="763" t="s">
        <v>757</v>
      </c>
      <c r="D21" s="564"/>
      <c r="E21" s="612">
        <f>'F11'!D12</f>
        <v>0</v>
      </c>
      <c r="F21" s="612">
        <f ca="1">Incentive!D9</f>
        <v>1.7366201766218679</v>
      </c>
      <c r="G21" s="608">
        <f t="shared" ca="1" si="1"/>
        <v>1.7366201766218679</v>
      </c>
      <c r="H21" s="612">
        <f>'F11'!G12</f>
        <v>0</v>
      </c>
      <c r="I21" s="612">
        <f ca="1">Incentive!E9</f>
        <v>1.4065636131886705</v>
      </c>
      <c r="J21" s="608">
        <f t="shared" ref="J21:J23" ca="1" si="8">I21-H21</f>
        <v>1.4065636131886705</v>
      </c>
      <c r="K21" s="588"/>
      <c r="L21" s="588"/>
      <c r="M21" s="588"/>
      <c r="N21" s="588"/>
      <c r="O21" s="588"/>
      <c r="P21" s="588"/>
      <c r="Q21" s="588"/>
      <c r="R21" s="588"/>
      <c r="S21" s="588"/>
      <c r="T21" s="588"/>
      <c r="U21" s="317"/>
    </row>
    <row r="22" spans="2:21" ht="17">
      <c r="B22" s="564">
        <f t="shared" si="3"/>
        <v>14</v>
      </c>
      <c r="C22" s="763" t="s">
        <v>844</v>
      </c>
      <c r="D22" s="564"/>
      <c r="E22" s="612">
        <v>0</v>
      </c>
      <c r="F22" s="612">
        <f>'F13'!H11*1/3+'F13'!H14*2/3</f>
        <v>-1.0621453604595472</v>
      </c>
      <c r="G22" s="608">
        <f t="shared" si="1"/>
        <v>-1.0621453604595472</v>
      </c>
      <c r="H22" s="612"/>
      <c r="I22" s="612">
        <f>'F13'!H41*1/3+'F13'!H44*2/3</f>
        <v>-0.72473816890222631</v>
      </c>
      <c r="J22" s="608">
        <f t="shared" si="8"/>
        <v>-0.72473816890222631</v>
      </c>
      <c r="K22" s="588"/>
      <c r="L22" s="588"/>
      <c r="M22" s="588"/>
      <c r="N22" s="588"/>
      <c r="O22" s="588"/>
      <c r="P22" s="588"/>
      <c r="Q22" s="588"/>
      <c r="R22" s="588"/>
      <c r="S22" s="588"/>
      <c r="T22" s="588"/>
      <c r="U22" s="317"/>
    </row>
    <row r="23" spans="2:21" ht="17">
      <c r="B23" s="564">
        <f t="shared" si="3"/>
        <v>15</v>
      </c>
      <c r="C23" s="763" t="s">
        <v>845</v>
      </c>
      <c r="D23" s="564"/>
      <c r="E23" s="612"/>
      <c r="F23" s="612">
        <f>Sharing!M27</f>
        <v>0.62777296065123045</v>
      </c>
      <c r="G23" s="608">
        <f t="shared" si="1"/>
        <v>0.62777296065123045</v>
      </c>
      <c r="H23" s="612"/>
      <c r="I23" s="612">
        <f>Sharing!N27</f>
        <v>0.9060051496994781</v>
      </c>
      <c r="J23" s="608">
        <f t="shared" si="8"/>
        <v>0.9060051496994781</v>
      </c>
      <c r="K23" s="588"/>
      <c r="L23" s="588"/>
      <c r="M23" s="588"/>
      <c r="N23" s="588"/>
      <c r="O23" s="588"/>
      <c r="P23" s="588"/>
      <c r="Q23" s="588"/>
      <c r="R23" s="588"/>
      <c r="S23" s="588"/>
      <c r="T23" s="588"/>
      <c r="U23" s="317"/>
    </row>
    <row r="24" spans="2:21" ht="17">
      <c r="B24" s="564">
        <f t="shared" si="3"/>
        <v>16</v>
      </c>
      <c r="C24" s="782" t="s">
        <v>920</v>
      </c>
      <c r="D24" s="558"/>
      <c r="E24" s="619">
        <f>E17-SUM(E18:E20)+SUM(E21:E23)</f>
        <v>87.930918499999976</v>
      </c>
      <c r="F24" s="619">
        <f ca="1">F17-SUM(F18:F20)+SUM(F21:F23)</f>
        <v>89.959624334243671</v>
      </c>
      <c r="G24" s="619">
        <f t="shared" ref="G24:T24" ca="1" si="9">G17-SUM(G18:G20)+SUM(G21:G23)</f>
        <v>2.018705834243673</v>
      </c>
      <c r="H24" s="619">
        <f>H17-SUM(H18:H20)+SUM(H21:H23)</f>
        <v>82.317745000000002</v>
      </c>
      <c r="I24" s="619">
        <f t="shared" ca="1" si="9"/>
        <v>83.947422351206228</v>
      </c>
      <c r="J24" s="619">
        <f t="shared" ca="1" si="9"/>
        <v>1.6296773512062146</v>
      </c>
      <c r="K24" s="619">
        <f t="shared" si="9"/>
        <v>80.065882500000001</v>
      </c>
      <c r="L24" s="619">
        <f t="shared" si="9"/>
        <v>38.472246486908034</v>
      </c>
      <c r="M24" s="619">
        <f t="shared" ca="1" si="9"/>
        <v>42.101856051645825</v>
      </c>
      <c r="N24" s="619">
        <f t="shared" ca="1" si="9"/>
        <v>80.568194806553862</v>
      </c>
      <c r="O24" s="619">
        <f t="shared" ca="1" si="9"/>
        <v>0.50231230655386183</v>
      </c>
      <c r="P24" s="619">
        <f t="shared" ca="1" si="9"/>
        <v>75.678537641839768</v>
      </c>
      <c r="Q24" s="619">
        <f t="shared" ca="1" si="9"/>
        <v>72.924609651105428</v>
      </c>
      <c r="R24" s="619">
        <f t="shared" ca="1" si="9"/>
        <v>70.242982725453402</v>
      </c>
      <c r="S24" s="619">
        <f t="shared" ca="1" si="9"/>
        <v>66.809590348952909</v>
      </c>
      <c r="T24" s="619">
        <f t="shared" ca="1" si="9"/>
        <v>64.153847196886517</v>
      </c>
      <c r="U24" s="317"/>
    </row>
    <row r="25" spans="2:21" ht="34">
      <c r="B25" s="564">
        <f t="shared" si="3"/>
        <v>17</v>
      </c>
      <c r="C25" s="773" t="s">
        <v>864</v>
      </c>
      <c r="D25" s="558"/>
      <c r="E25" s="619"/>
      <c r="F25" s="613">
        <f>DPC!E9</f>
        <v>16.187288669950739</v>
      </c>
      <c r="G25" s="608">
        <f t="shared" si="1"/>
        <v>16.187288669950739</v>
      </c>
      <c r="H25" s="619"/>
      <c r="I25" s="619"/>
      <c r="J25" s="619"/>
      <c r="K25" s="619"/>
      <c r="L25" s="619"/>
      <c r="M25" s="619"/>
      <c r="N25" s="619"/>
      <c r="O25" s="619"/>
      <c r="P25" s="619"/>
      <c r="Q25" s="619"/>
      <c r="R25" s="619"/>
      <c r="S25" s="619"/>
      <c r="T25" s="619"/>
      <c r="U25" s="317"/>
    </row>
    <row r="26" spans="2:21" ht="17">
      <c r="B26" s="564">
        <f t="shared" si="3"/>
        <v>18</v>
      </c>
      <c r="C26" s="625" t="s">
        <v>759</v>
      </c>
      <c r="D26" s="558"/>
      <c r="E26" s="613"/>
      <c r="F26" s="613"/>
      <c r="G26" s="613"/>
      <c r="H26" s="613">
        <v>-3.45</v>
      </c>
      <c r="I26" s="613">
        <f>H26</f>
        <v>-3.45</v>
      </c>
      <c r="J26" s="608">
        <f t="shared" ref="J26:J30" si="10">I26-H26</f>
        <v>0</v>
      </c>
      <c r="K26" s="613"/>
      <c r="L26" s="613"/>
      <c r="M26" s="613"/>
      <c r="N26" s="613"/>
      <c r="O26" s="613"/>
      <c r="P26" s="613"/>
      <c r="Q26" s="613"/>
      <c r="R26" s="588"/>
      <c r="S26" s="588"/>
      <c r="T26" s="588"/>
      <c r="U26" s="317"/>
    </row>
    <row r="27" spans="2:21" ht="17">
      <c r="B27" s="564">
        <f t="shared" si="3"/>
        <v>19</v>
      </c>
      <c r="C27" s="625" t="s">
        <v>760</v>
      </c>
      <c r="D27" s="558"/>
      <c r="E27" s="613"/>
      <c r="F27" s="613"/>
      <c r="G27" s="613"/>
      <c r="H27" s="613">
        <v>-5.28</v>
      </c>
      <c r="I27" s="613">
        <f t="shared" ref="I27" si="11">H27</f>
        <v>-5.28</v>
      </c>
      <c r="J27" s="608">
        <f t="shared" si="10"/>
        <v>0</v>
      </c>
      <c r="K27" s="613"/>
      <c r="L27" s="613"/>
      <c r="M27" s="613"/>
      <c r="N27" s="613"/>
      <c r="O27" s="613"/>
      <c r="P27" s="613"/>
      <c r="Q27" s="613"/>
      <c r="R27" s="588"/>
      <c r="S27" s="588"/>
      <c r="T27" s="588"/>
      <c r="U27" s="317"/>
    </row>
    <row r="28" spans="2:21" ht="17">
      <c r="B28" s="564">
        <f t="shared" si="3"/>
        <v>20</v>
      </c>
      <c r="C28" s="625" t="s">
        <v>761</v>
      </c>
      <c r="D28" s="558"/>
      <c r="E28" s="613"/>
      <c r="F28" s="613"/>
      <c r="G28" s="613"/>
      <c r="H28" s="613">
        <v>-1.95</v>
      </c>
      <c r="I28" s="613">
        <v>0</v>
      </c>
      <c r="J28" s="608">
        <f t="shared" si="10"/>
        <v>1.95</v>
      </c>
      <c r="K28" s="613"/>
      <c r="L28" s="613"/>
      <c r="M28" s="613"/>
      <c r="N28" s="613"/>
      <c r="O28" s="613"/>
      <c r="P28" s="613"/>
      <c r="Q28" s="613"/>
      <c r="R28" s="588"/>
      <c r="S28" s="588"/>
      <c r="T28" s="588"/>
      <c r="U28" s="317"/>
    </row>
    <row r="29" spans="2:21" ht="17">
      <c r="B29" s="564">
        <f t="shared" si="3"/>
        <v>21</v>
      </c>
      <c r="C29" s="625" t="s">
        <v>762</v>
      </c>
      <c r="D29" s="558"/>
      <c r="E29" s="613"/>
      <c r="F29" s="613"/>
      <c r="G29" s="613"/>
      <c r="H29" s="613">
        <v>-3.22</v>
      </c>
      <c r="I29" s="613">
        <f>H29</f>
        <v>-3.22</v>
      </c>
      <c r="J29" s="608">
        <f t="shared" si="10"/>
        <v>0</v>
      </c>
      <c r="K29" s="613"/>
      <c r="L29" s="613"/>
      <c r="M29" s="613"/>
      <c r="N29" s="613"/>
      <c r="O29" s="613"/>
      <c r="P29" s="613"/>
      <c r="Q29" s="613"/>
      <c r="R29" s="588"/>
      <c r="S29" s="588"/>
      <c r="T29" s="588"/>
      <c r="U29" s="317"/>
    </row>
    <row r="30" spans="2:21" ht="17">
      <c r="B30" s="564">
        <f t="shared" si="3"/>
        <v>22</v>
      </c>
      <c r="C30" s="625" t="s">
        <v>859</v>
      </c>
      <c r="D30" s="558"/>
      <c r="E30" s="613"/>
      <c r="F30" s="613"/>
      <c r="G30" s="613"/>
      <c r="H30" s="613">
        <v>0</v>
      </c>
      <c r="I30" s="613">
        <v>0.74</v>
      </c>
      <c r="J30" s="608">
        <f t="shared" si="10"/>
        <v>0.74</v>
      </c>
      <c r="K30" s="613"/>
      <c r="L30" s="613"/>
      <c r="M30" s="613"/>
      <c r="N30" s="613"/>
      <c r="O30" s="613"/>
      <c r="P30" s="613"/>
      <c r="Q30" s="613"/>
      <c r="R30" s="588"/>
      <c r="S30" s="588"/>
      <c r="T30" s="588"/>
      <c r="U30" s="317"/>
    </row>
    <row r="31" spans="2:21" ht="17">
      <c r="B31" s="564">
        <f t="shared" si="3"/>
        <v>23</v>
      </c>
      <c r="C31" s="625" t="s">
        <v>887</v>
      </c>
      <c r="D31" s="558"/>
      <c r="E31" s="613"/>
      <c r="F31" s="613"/>
      <c r="G31" s="613"/>
      <c r="H31" s="613"/>
      <c r="I31" s="613"/>
      <c r="J31" s="613"/>
      <c r="K31" s="613"/>
      <c r="L31" s="613"/>
      <c r="M31" s="613"/>
      <c r="N31" s="613"/>
      <c r="O31" s="613"/>
      <c r="P31" s="613">
        <f ca="1">Gap!D6</f>
        <v>16.726913004194401</v>
      </c>
      <c r="Q31" s="613"/>
      <c r="R31" s="588"/>
      <c r="S31" s="588"/>
      <c r="T31" s="588"/>
      <c r="U31" s="317"/>
    </row>
    <row r="32" spans="2:21" ht="17">
      <c r="B32" s="564">
        <f t="shared" si="3"/>
        <v>24</v>
      </c>
      <c r="C32" s="625" t="s">
        <v>888</v>
      </c>
      <c r="D32" s="558"/>
      <c r="E32" s="613"/>
      <c r="F32" s="613"/>
      <c r="G32" s="613"/>
      <c r="H32" s="613"/>
      <c r="I32" s="613"/>
      <c r="J32" s="613"/>
      <c r="K32" s="613"/>
      <c r="L32" s="613"/>
      <c r="M32" s="613"/>
      <c r="N32" s="613"/>
      <c r="O32" s="613"/>
      <c r="P32" s="613">
        <f ca="1">Gap!E6</f>
        <v>-3.3202733487937905</v>
      </c>
      <c r="Q32" s="613"/>
      <c r="R32" s="588"/>
      <c r="S32" s="588"/>
      <c r="T32" s="588"/>
      <c r="U32" s="317"/>
    </row>
    <row r="33" spans="2:21" ht="17">
      <c r="B33" s="564">
        <f t="shared" si="3"/>
        <v>25</v>
      </c>
      <c r="C33" s="625" t="s">
        <v>930</v>
      </c>
      <c r="D33" s="558"/>
      <c r="E33" s="613"/>
      <c r="F33" s="613"/>
      <c r="G33" s="613"/>
      <c r="H33" s="613"/>
      <c r="I33" s="613"/>
      <c r="J33" s="613"/>
      <c r="K33" s="613"/>
      <c r="L33" s="613"/>
      <c r="M33" s="613"/>
      <c r="N33" s="613"/>
      <c r="O33" s="613"/>
      <c r="P33" s="613">
        <f ca="1">Gap!F6</f>
        <v>0.49819480655386883</v>
      </c>
      <c r="Q33" s="613"/>
      <c r="R33" s="588"/>
      <c r="S33" s="588"/>
      <c r="T33" s="588"/>
      <c r="U33" s="317"/>
    </row>
    <row r="34" spans="2:21" ht="17">
      <c r="B34" s="564">
        <f t="shared" si="3"/>
        <v>26</v>
      </c>
      <c r="C34" s="625" t="s">
        <v>889</v>
      </c>
      <c r="D34" s="558"/>
      <c r="E34" s="613"/>
      <c r="F34" s="613"/>
      <c r="G34" s="613"/>
      <c r="H34" s="613"/>
      <c r="I34" s="613"/>
      <c r="J34" s="613"/>
      <c r="K34" s="613"/>
      <c r="L34" s="613"/>
      <c r="M34" s="613"/>
      <c r="N34" s="613"/>
      <c r="O34" s="613"/>
      <c r="P34" s="613">
        <f ca="1">Gap!D20</f>
        <v>7.281971735952486</v>
      </c>
      <c r="Q34" s="613"/>
      <c r="R34" s="588"/>
      <c r="S34" s="588"/>
      <c r="T34" s="588"/>
      <c r="U34" s="317"/>
    </row>
    <row r="35" spans="2:21" ht="17">
      <c r="B35" s="564">
        <f t="shared" si="3"/>
        <v>27</v>
      </c>
      <c r="C35" s="966" t="s">
        <v>758</v>
      </c>
      <c r="D35" s="558"/>
      <c r="E35" s="619">
        <f t="shared" ref="E35:O35" si="12">SUM(E24:E34)</f>
        <v>87.930918499999976</v>
      </c>
      <c r="F35" s="619">
        <f t="shared" ca="1" si="12"/>
        <v>106.1469130041944</v>
      </c>
      <c r="G35" s="619">
        <f t="shared" ca="1" si="12"/>
        <v>18.205994504194411</v>
      </c>
      <c r="H35" s="619">
        <f t="shared" si="12"/>
        <v>68.417744999999996</v>
      </c>
      <c r="I35" s="619">
        <f t="shared" ca="1" si="12"/>
        <v>72.73742235120622</v>
      </c>
      <c r="J35" s="619">
        <f t="shared" ca="1" si="12"/>
        <v>4.3196773512062148</v>
      </c>
      <c r="K35" s="619">
        <f t="shared" si="12"/>
        <v>80.065882500000001</v>
      </c>
      <c r="L35" s="619">
        <f t="shared" si="12"/>
        <v>38.472246486908034</v>
      </c>
      <c r="M35" s="619">
        <f t="shared" ca="1" si="12"/>
        <v>42.101856051645825</v>
      </c>
      <c r="N35" s="619">
        <f t="shared" ca="1" si="12"/>
        <v>80.568194806553862</v>
      </c>
      <c r="O35" s="619">
        <f t="shared" ca="1" si="12"/>
        <v>0.50231230655386183</v>
      </c>
      <c r="P35" s="619">
        <f ca="1">SUM(P24:P34)</f>
        <v>96.865343839746728</v>
      </c>
      <c r="Q35" s="619">
        <f t="shared" ref="Q35:T35" ca="1" si="13">SUM(Q24:Q34)</f>
        <v>72.924609651105428</v>
      </c>
      <c r="R35" s="619">
        <f t="shared" ca="1" si="13"/>
        <v>70.242982725453402</v>
      </c>
      <c r="S35" s="619">
        <f t="shared" ca="1" si="13"/>
        <v>66.809590348952909</v>
      </c>
      <c r="T35" s="619">
        <f t="shared" ca="1" si="13"/>
        <v>64.153847196886517</v>
      </c>
      <c r="U35" s="317"/>
    </row>
    <row r="36" spans="2:21" ht="16">
      <c r="B36" s="617"/>
      <c r="C36" s="967"/>
      <c r="D36" s="565"/>
      <c r="E36" s="615"/>
      <c r="F36" s="615"/>
      <c r="G36" s="615"/>
      <c r="H36" s="615"/>
      <c r="I36" s="615"/>
      <c r="J36" s="615"/>
      <c r="K36" s="615"/>
      <c r="L36" s="615"/>
      <c r="M36" s="615"/>
      <c r="N36" s="615"/>
      <c r="O36" s="615"/>
      <c r="P36" s="615"/>
      <c r="Q36" s="615"/>
      <c r="R36" s="615"/>
      <c r="S36" s="615"/>
      <c r="T36" s="615"/>
      <c r="U36" s="616"/>
    </row>
    <row r="37" spans="2:21" ht="16">
      <c r="B37" s="618"/>
      <c r="C37" s="967"/>
      <c r="D37" s="565"/>
      <c r="E37" s="565"/>
      <c r="F37" s="565"/>
      <c r="G37" s="565"/>
      <c r="H37" s="565"/>
      <c r="I37" s="565"/>
      <c r="J37" s="565"/>
      <c r="K37" s="565"/>
      <c r="L37" s="565"/>
      <c r="M37" s="565"/>
      <c r="N37" s="565"/>
      <c r="O37" s="565"/>
      <c r="P37" s="565"/>
      <c r="Q37" s="565"/>
      <c r="R37" s="565"/>
      <c r="S37" s="565"/>
    </row>
    <row r="38" spans="2:21">
      <c r="B38" s="597"/>
    </row>
    <row r="39" spans="2:21">
      <c r="B39" s="294"/>
    </row>
  </sheetData>
  <mergeCells count="11">
    <mergeCell ref="B2:D2"/>
    <mergeCell ref="B3:D3"/>
    <mergeCell ref="B4:D4"/>
    <mergeCell ref="P6:T6"/>
    <mergeCell ref="U6:U8"/>
    <mergeCell ref="B6:B8"/>
    <mergeCell ref="C6:C8"/>
    <mergeCell ref="D6:D8"/>
    <mergeCell ref="H6:J6"/>
    <mergeCell ref="K6:O6"/>
    <mergeCell ref="E6:G6"/>
  </mergeCells>
  <phoneticPr fontId="0" type="noConversion"/>
  <pageMargins left="0.43307086614173229" right="0.43307086614173229" top="0.43307086614173229" bottom="0.43307086614173229" header="0.31496062992125984" footer="0.31496062992125984"/>
  <pageSetup paperSize="9" scale="65" fitToWidth="2" fitToHeight="2" orientation="landscape" r:id="rId1"/>
  <headerFooter>
    <oddFooter>&amp;CPage. &amp;P</oddFooter>
  </headerFooter>
  <colBreaks count="1" manualBreakCount="1">
    <brk id="12" max="34"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T17"/>
  <sheetViews>
    <sheetView showGridLines="0" view="pageBreakPreview" zoomScale="60" zoomScaleNormal="75" workbookViewId="0">
      <selection activeCell="T1" sqref="T1:T1048576"/>
    </sheetView>
  </sheetViews>
  <sheetFormatPr baseColWidth="10" defaultColWidth="9.1640625" defaultRowHeight="15"/>
  <cols>
    <col min="1" max="1" width="4.1640625" style="5" customWidth="1"/>
    <col min="2" max="2" width="6.33203125" style="5" customWidth="1"/>
    <col min="3" max="3" width="39.1640625" style="5" customWidth="1"/>
    <col min="4" max="6" width="13.6640625" style="5" customWidth="1"/>
    <col min="7" max="10" width="16.33203125" style="5" customWidth="1"/>
    <col min="11" max="11" width="13.33203125" style="5" customWidth="1"/>
    <col min="12" max="12" width="16.1640625" style="5" customWidth="1"/>
    <col min="13" max="13" width="17" style="5" bestFit="1" customWidth="1"/>
    <col min="14" max="14" width="17.6640625" style="5" customWidth="1"/>
    <col min="15" max="19" width="15.33203125" style="5" customWidth="1"/>
    <col min="20" max="20" width="15.6640625" style="5" hidden="1" customWidth="1"/>
    <col min="21" max="16384" width="9.1640625" style="5"/>
  </cols>
  <sheetData>
    <row r="1" spans="2:20">
      <c r="B1" s="6"/>
    </row>
    <row r="2" spans="2:20">
      <c r="B2" s="1043" t="str">
        <f>Index!B2</f>
        <v>Jaigad Power Transco Ltd</v>
      </c>
      <c r="C2" s="1043"/>
      <c r="D2" s="1043"/>
      <c r="E2" s="1043"/>
      <c r="F2" s="1043"/>
      <c r="G2" s="1043"/>
      <c r="H2" s="1043"/>
      <c r="I2" s="1043"/>
      <c r="J2" s="1043"/>
      <c r="K2" s="1043"/>
      <c r="L2" s="1043"/>
      <c r="M2" s="1043"/>
      <c r="N2" s="1043"/>
      <c r="O2" s="1043"/>
      <c r="P2" s="1043"/>
      <c r="Q2" s="1043"/>
      <c r="R2" s="1043"/>
      <c r="S2" s="1043"/>
      <c r="T2" s="1043"/>
    </row>
    <row r="3" spans="2:20">
      <c r="B3" s="1043" t="s">
        <v>186</v>
      </c>
      <c r="C3" s="1043"/>
      <c r="D3" s="1043"/>
      <c r="E3" s="1043"/>
      <c r="F3" s="1043"/>
      <c r="G3" s="1043"/>
      <c r="H3" s="1043"/>
      <c r="I3" s="1043"/>
      <c r="J3" s="1043"/>
      <c r="K3" s="1043"/>
      <c r="L3" s="1043"/>
      <c r="M3" s="1043"/>
      <c r="N3" s="1043"/>
      <c r="O3" s="1043"/>
      <c r="P3" s="1043"/>
      <c r="Q3" s="1043"/>
      <c r="R3" s="1043"/>
      <c r="S3" s="1043"/>
      <c r="T3" s="1043"/>
    </row>
    <row r="4" spans="2:20">
      <c r="B4" s="1161" t="s">
        <v>684</v>
      </c>
      <c r="C4" s="1161"/>
      <c r="D4" s="1161"/>
      <c r="E4" s="1161"/>
      <c r="F4" s="1161"/>
      <c r="G4" s="1161"/>
      <c r="H4" s="1161"/>
      <c r="I4" s="1161"/>
      <c r="J4" s="1161"/>
      <c r="K4" s="1161"/>
      <c r="L4" s="1161"/>
      <c r="M4" s="1161"/>
      <c r="N4" s="1161"/>
      <c r="O4" s="1161"/>
      <c r="P4" s="1161"/>
      <c r="Q4" s="1161"/>
      <c r="R4" s="1161"/>
      <c r="S4" s="1161"/>
      <c r="T4" s="1161"/>
    </row>
    <row r="5" spans="2:20">
      <c r="B5" s="7"/>
      <c r="C5" s="7"/>
    </row>
    <row r="6" spans="2:20">
      <c r="C6" s="312"/>
      <c r="J6" s="312"/>
      <c r="L6" s="8"/>
      <c r="T6" s="8" t="s">
        <v>33</v>
      </c>
    </row>
    <row r="7" spans="2:20" s="275" customFormat="1">
      <c r="B7" s="980" t="s">
        <v>226</v>
      </c>
      <c r="C7" s="985" t="s">
        <v>4</v>
      </c>
      <c r="D7" s="987" t="s">
        <v>213</v>
      </c>
      <c r="E7" s="988"/>
      <c r="F7" s="989"/>
      <c r="G7" s="987" t="s">
        <v>214</v>
      </c>
      <c r="H7" s="988"/>
      <c r="I7" s="989"/>
      <c r="J7" s="987" t="s">
        <v>215</v>
      </c>
      <c r="K7" s="988"/>
      <c r="L7" s="988"/>
      <c r="M7" s="988"/>
      <c r="N7" s="989"/>
      <c r="O7" s="983" t="s">
        <v>78</v>
      </c>
      <c r="P7" s="983"/>
      <c r="Q7" s="983"/>
      <c r="R7" s="983"/>
      <c r="S7" s="983"/>
      <c r="T7" s="983" t="s">
        <v>37</v>
      </c>
    </row>
    <row r="8" spans="2:20" s="275" customFormat="1" ht="42.5" customHeight="1">
      <c r="B8" s="981"/>
      <c r="C8" s="985"/>
      <c r="D8" s="362" t="s">
        <v>313</v>
      </c>
      <c r="E8" s="362" t="s">
        <v>311</v>
      </c>
      <c r="F8" s="362" t="s">
        <v>312</v>
      </c>
      <c r="G8" s="362" t="s">
        <v>313</v>
      </c>
      <c r="H8" s="362" t="s">
        <v>311</v>
      </c>
      <c r="I8" s="362" t="s">
        <v>312</v>
      </c>
      <c r="J8" s="362" t="s">
        <v>313</v>
      </c>
      <c r="K8" s="362" t="s">
        <v>314</v>
      </c>
      <c r="L8" s="362" t="s">
        <v>315</v>
      </c>
      <c r="M8" s="362" t="s">
        <v>58</v>
      </c>
      <c r="N8" s="362" t="s">
        <v>316</v>
      </c>
      <c r="O8" s="362" t="s">
        <v>540</v>
      </c>
      <c r="P8" s="362" t="s">
        <v>541</v>
      </c>
      <c r="Q8" s="362" t="s">
        <v>542</v>
      </c>
      <c r="R8" s="362" t="s">
        <v>543</v>
      </c>
      <c r="S8" s="362" t="s">
        <v>544</v>
      </c>
      <c r="T8" s="983"/>
    </row>
    <row r="9" spans="2:20" s="275" customFormat="1" ht="27.75" customHeight="1">
      <c r="B9" s="998"/>
      <c r="C9" s="999"/>
      <c r="D9" s="362" t="s">
        <v>56</v>
      </c>
      <c r="E9" s="362" t="s">
        <v>57</v>
      </c>
      <c r="F9" s="362" t="s">
        <v>317</v>
      </c>
      <c r="G9" s="362" t="s">
        <v>318</v>
      </c>
      <c r="H9" s="362" t="s">
        <v>319</v>
      </c>
      <c r="I9" s="362" t="s">
        <v>545</v>
      </c>
      <c r="J9" s="362" t="s">
        <v>546</v>
      </c>
      <c r="K9" s="362" t="s">
        <v>547</v>
      </c>
      <c r="L9" s="362" t="s">
        <v>548</v>
      </c>
      <c r="M9" s="362" t="s">
        <v>549</v>
      </c>
      <c r="N9" s="362" t="s">
        <v>550</v>
      </c>
      <c r="O9" s="362" t="s">
        <v>86</v>
      </c>
      <c r="P9" s="362" t="s">
        <v>86</v>
      </c>
      <c r="Q9" s="362" t="s">
        <v>86</v>
      </c>
      <c r="R9" s="362" t="s">
        <v>86</v>
      </c>
      <c r="S9" s="362" t="s">
        <v>86</v>
      </c>
      <c r="T9" s="1111"/>
    </row>
    <row r="10" spans="2:20" s="8" customFormat="1" ht="16">
      <c r="B10" s="315">
        <v>1</v>
      </c>
      <c r="C10" s="316" t="s">
        <v>495</v>
      </c>
      <c r="D10" s="317">
        <v>89.88</v>
      </c>
      <c r="E10" s="588">
        <f>Revenue!D7</f>
        <v>89.42</v>
      </c>
      <c r="F10" s="948">
        <f>E10-D10</f>
        <v>-0.45999999999999375</v>
      </c>
      <c r="G10" s="317">
        <v>68.42</v>
      </c>
      <c r="H10" s="588">
        <f>Revenue!E7</f>
        <v>76.057695700000011</v>
      </c>
      <c r="I10" s="948">
        <f>H10-G10</f>
        <v>7.637695700000009</v>
      </c>
      <c r="J10" s="317">
        <v>80.069999999999993</v>
      </c>
      <c r="K10" s="588">
        <f>M10/2</f>
        <v>40.034999999999997</v>
      </c>
      <c r="L10" s="588">
        <f>M10/2</f>
        <v>40.034999999999997</v>
      </c>
      <c r="M10" s="317">
        <f>J10</f>
        <v>80.069999999999993</v>
      </c>
      <c r="N10" s="948">
        <f>M10-J10</f>
        <v>0</v>
      </c>
      <c r="O10" s="948">
        <f ca="1">'F1 '!P35</f>
        <v>96.865343839746728</v>
      </c>
      <c r="P10" s="948">
        <f ca="1">'F1 '!Q35</f>
        <v>72.924609651105428</v>
      </c>
      <c r="Q10" s="948">
        <f ca="1">'F1 '!R35</f>
        <v>70.242982725453402</v>
      </c>
      <c r="R10" s="948">
        <f ca="1">'F1 '!S35</f>
        <v>66.809590348952909</v>
      </c>
      <c r="S10" s="948">
        <f ca="1">'F1 '!T35</f>
        <v>64.153847196886517</v>
      </c>
      <c r="T10" s="318"/>
    </row>
    <row r="11" spans="2:20" s="8" customFormat="1" ht="16">
      <c r="B11" s="315">
        <v>2</v>
      </c>
      <c r="C11" s="316" t="s">
        <v>496</v>
      </c>
      <c r="D11" s="317"/>
      <c r="E11" s="317"/>
      <c r="F11" s="317"/>
      <c r="G11" s="317"/>
      <c r="H11" s="317"/>
      <c r="I11" s="317"/>
      <c r="J11" s="317"/>
      <c r="K11" s="317"/>
      <c r="L11" s="317"/>
      <c r="M11" s="317"/>
      <c r="N11" s="317"/>
      <c r="O11" s="317"/>
      <c r="P11" s="318"/>
      <c r="Q11" s="318"/>
      <c r="R11" s="318"/>
      <c r="S11" s="318"/>
      <c r="T11" s="318"/>
    </row>
    <row r="12" spans="2:20">
      <c r="B12" s="315">
        <v>3</v>
      </c>
      <c r="C12" s="319" t="s">
        <v>84</v>
      </c>
      <c r="D12" s="317"/>
      <c r="E12" s="317"/>
      <c r="F12" s="317"/>
      <c r="G12" s="317"/>
      <c r="H12" s="317"/>
      <c r="I12" s="317"/>
      <c r="J12" s="317"/>
      <c r="K12" s="317"/>
      <c r="L12" s="317"/>
      <c r="M12" s="317"/>
      <c r="N12" s="317"/>
      <c r="O12" s="317"/>
      <c r="P12" s="448"/>
      <c r="Q12" s="448"/>
      <c r="R12" s="318"/>
      <c r="S12" s="318"/>
      <c r="T12" s="318"/>
    </row>
    <row r="13" spans="2:20">
      <c r="B13" s="315">
        <v>4</v>
      </c>
      <c r="C13" s="319" t="s">
        <v>84</v>
      </c>
      <c r="D13" s="317"/>
      <c r="E13" s="317"/>
      <c r="F13" s="317"/>
      <c r="G13" s="317"/>
      <c r="H13" s="317"/>
      <c r="I13" s="317"/>
      <c r="J13" s="317"/>
      <c r="K13" s="317"/>
      <c r="L13" s="317"/>
      <c r="M13" s="317"/>
      <c r="N13" s="317"/>
      <c r="O13" s="317"/>
      <c r="P13" s="448"/>
      <c r="Q13" s="448"/>
      <c r="R13" s="318"/>
      <c r="S13" s="318"/>
      <c r="T13" s="318"/>
    </row>
    <row r="14" spans="2:20" s="25" customFormat="1">
      <c r="B14" s="315"/>
      <c r="C14" s="320" t="s">
        <v>23</v>
      </c>
      <c r="D14" s="590">
        <f>SUM(D10:D13)</f>
        <v>89.88</v>
      </c>
      <c r="E14" s="590">
        <f t="shared" ref="E14:S14" si="0">SUM(E10:E13)</f>
        <v>89.42</v>
      </c>
      <c r="F14" s="590">
        <f t="shared" si="0"/>
        <v>-0.45999999999999375</v>
      </c>
      <c r="G14" s="590">
        <f t="shared" si="0"/>
        <v>68.42</v>
      </c>
      <c r="H14" s="590">
        <f t="shared" si="0"/>
        <v>76.057695700000011</v>
      </c>
      <c r="I14" s="590">
        <f t="shared" si="0"/>
        <v>7.637695700000009</v>
      </c>
      <c r="J14" s="590">
        <f t="shared" si="0"/>
        <v>80.069999999999993</v>
      </c>
      <c r="K14" s="590">
        <f t="shared" si="0"/>
        <v>40.034999999999997</v>
      </c>
      <c r="L14" s="590">
        <f t="shared" si="0"/>
        <v>40.034999999999997</v>
      </c>
      <c r="M14" s="590">
        <f t="shared" si="0"/>
        <v>80.069999999999993</v>
      </c>
      <c r="N14" s="590">
        <f t="shared" si="0"/>
        <v>0</v>
      </c>
      <c r="O14" s="590">
        <f t="shared" ca="1" si="0"/>
        <v>96.865343839746728</v>
      </c>
      <c r="P14" s="590">
        <f t="shared" ca="1" si="0"/>
        <v>72.924609651105428</v>
      </c>
      <c r="Q14" s="590">
        <f t="shared" ca="1" si="0"/>
        <v>70.242982725453402</v>
      </c>
      <c r="R14" s="590">
        <f t="shared" ca="1" si="0"/>
        <v>66.809590348952909</v>
      </c>
      <c r="S14" s="590">
        <f t="shared" ca="1" si="0"/>
        <v>64.153847196886517</v>
      </c>
      <c r="T14" s="318"/>
    </row>
    <row r="15" spans="2:20" s="25" customFormat="1">
      <c r="B15" s="5"/>
      <c r="C15" s="18"/>
    </row>
    <row r="16" spans="2:20" hidden="1">
      <c r="B16" s="275" t="s">
        <v>736</v>
      </c>
    </row>
    <row r="17" spans="2:2" hidden="1">
      <c r="B17" s="5" t="s">
        <v>497</v>
      </c>
    </row>
  </sheetData>
  <mergeCells count="10">
    <mergeCell ref="B2:T2"/>
    <mergeCell ref="B3:T3"/>
    <mergeCell ref="B4:T4"/>
    <mergeCell ref="O7:S7"/>
    <mergeCell ref="T7:T9"/>
    <mergeCell ref="B7:B9"/>
    <mergeCell ref="C7:C9"/>
    <mergeCell ref="G7:I7"/>
    <mergeCell ref="J7:N7"/>
    <mergeCell ref="D7:F7"/>
  </mergeCells>
  <pageMargins left="0.43307086614173229" right="0.43307086614173229" top="0.43307086614173229" bottom="0.43307086614173229" header="0.31496062992125984" footer="0.31496062992125984"/>
  <pageSetup paperSize="9" scale="64" fitToWidth="2" fitToHeight="2" orientation="landscape" r:id="rId1"/>
  <headerFooter>
    <oddFooter>&amp;CPage. &amp;P</oddFooter>
  </headerFooter>
  <colBreaks count="1" manualBreakCount="1">
    <brk id="12" max="1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U56"/>
  <sheetViews>
    <sheetView showGridLines="0" view="pageBreakPreview" topLeftCell="A38" zoomScale="60" zoomScaleNormal="75" workbookViewId="0">
      <selection activeCell="A60" sqref="A60"/>
    </sheetView>
  </sheetViews>
  <sheetFormatPr baseColWidth="10" defaultColWidth="9.1640625" defaultRowHeight="15"/>
  <cols>
    <col min="1" max="1" width="6.83203125" style="298" customWidth="1"/>
    <col min="2" max="2" width="62.6640625" style="295" bestFit="1" customWidth="1"/>
    <col min="3" max="3" width="16.83203125" style="298" bestFit="1" customWidth="1"/>
    <col min="4" max="4" width="17.5" style="298" bestFit="1" customWidth="1"/>
    <col min="5" max="5" width="12.6640625" style="298" bestFit="1" customWidth="1"/>
    <col min="6" max="6" width="17.5" style="298" bestFit="1" customWidth="1"/>
    <col min="7" max="7" width="19.5" style="298" customWidth="1"/>
    <col min="8" max="8" width="13.83203125" style="298" customWidth="1"/>
    <col min="9" max="9" width="16" style="298" customWidth="1"/>
    <col min="10" max="10" width="14.33203125" style="298" customWidth="1"/>
    <col min="11" max="11" width="11.6640625" style="298" customWidth="1"/>
    <col min="12" max="12" width="11" style="298" customWidth="1"/>
    <col min="13" max="13" width="13.83203125" style="298" customWidth="1"/>
    <col min="14" max="14" width="16" style="298" customWidth="1"/>
    <col min="15" max="16384" width="9.1640625" style="298"/>
  </cols>
  <sheetData>
    <row r="2" spans="2:14">
      <c r="B2" s="1064" t="str">
        <f>Index!B2</f>
        <v>Jaigad Power Transco Ltd</v>
      </c>
      <c r="C2" s="1064"/>
      <c r="D2" s="1064"/>
      <c r="E2" s="1064"/>
      <c r="F2" s="1064"/>
      <c r="G2" s="1064"/>
      <c r="H2" s="1064"/>
      <c r="I2" s="1064"/>
      <c r="J2" s="1064"/>
    </row>
    <row r="3" spans="2:14" s="299" customFormat="1">
      <c r="B3" s="1064" t="s">
        <v>186</v>
      </c>
      <c r="C3" s="1064"/>
      <c r="D3" s="1064"/>
      <c r="E3" s="1064"/>
      <c r="F3" s="1064"/>
      <c r="G3" s="1064"/>
      <c r="H3" s="1064"/>
      <c r="I3" s="1064"/>
      <c r="J3" s="1064"/>
      <c r="K3" s="300"/>
      <c r="L3" s="300"/>
      <c r="M3" s="300"/>
    </row>
    <row r="4" spans="2:14" s="299" customFormat="1">
      <c r="B4" s="1177" t="s">
        <v>685</v>
      </c>
      <c r="C4" s="1177"/>
      <c r="D4" s="1177"/>
      <c r="E4" s="1177"/>
      <c r="F4" s="1177"/>
      <c r="G4" s="1177"/>
      <c r="H4" s="1177"/>
      <c r="I4" s="1177"/>
      <c r="J4" s="1177"/>
      <c r="K4" s="301"/>
      <c r="L4" s="301"/>
      <c r="M4" s="301"/>
      <c r="N4" s="301"/>
    </row>
    <row r="5" spans="2:14" s="299" customFormat="1">
      <c r="B5" s="605"/>
      <c r="C5" s="605"/>
      <c r="D5" s="605"/>
      <c r="E5" s="605"/>
      <c r="F5" s="605"/>
      <c r="G5" s="605"/>
      <c r="H5" s="605"/>
      <c r="I5" s="605"/>
      <c r="J5" s="301"/>
      <c r="K5" s="301"/>
      <c r="L5" s="301"/>
      <c r="M5" s="301"/>
      <c r="N5" s="301"/>
    </row>
    <row r="6" spans="2:14" s="299" customFormat="1">
      <c r="B6" s="302" t="s">
        <v>583</v>
      </c>
      <c r="C6" s="295"/>
      <c r="D6" s="295"/>
      <c r="E6" s="295"/>
      <c r="F6" s="295"/>
      <c r="G6" s="295"/>
      <c r="H6" s="295"/>
      <c r="I6" s="298"/>
      <c r="J6" s="298"/>
      <c r="K6" s="301"/>
      <c r="L6" s="301"/>
      <c r="M6" s="301"/>
      <c r="N6" s="301"/>
    </row>
    <row r="7" spans="2:14" s="299" customFormat="1">
      <c r="B7" s="302"/>
      <c r="C7" s="295"/>
      <c r="D7" s="295"/>
      <c r="E7" s="295"/>
      <c r="F7" s="295"/>
      <c r="G7" s="295"/>
      <c r="H7" s="295"/>
      <c r="I7" s="298"/>
      <c r="J7" s="298"/>
      <c r="K7" s="301"/>
      <c r="L7" s="301"/>
      <c r="M7" s="301"/>
      <c r="N7" s="301"/>
    </row>
    <row r="8" spans="2:14" s="299" customFormat="1">
      <c r="B8" s="296" t="s">
        <v>643</v>
      </c>
      <c r="C8" s="295"/>
      <c r="D8" s="295"/>
      <c r="E8" s="295"/>
      <c r="F8" s="295"/>
      <c r="G8" s="295"/>
      <c r="H8" s="295"/>
      <c r="I8" s="298"/>
      <c r="J8" s="298"/>
      <c r="K8" s="301"/>
      <c r="L8" s="301"/>
      <c r="M8" s="301"/>
      <c r="N8" s="301"/>
    </row>
    <row r="9" spans="2:14" s="299" customFormat="1">
      <c r="B9" s="298"/>
      <c r="C9" s="298"/>
      <c r="D9" s="298"/>
      <c r="E9" s="298"/>
      <c r="F9" s="298"/>
      <c r="G9" s="298"/>
      <c r="H9" s="298"/>
      <c r="I9" s="298"/>
      <c r="J9" s="298"/>
      <c r="K9" s="301"/>
      <c r="L9" s="301"/>
      <c r="M9" s="301"/>
      <c r="N9" s="301"/>
    </row>
    <row r="10" spans="2:14" s="299" customFormat="1">
      <c r="B10" s="1178" t="s">
        <v>4</v>
      </c>
      <c r="C10" s="1180" t="s">
        <v>487</v>
      </c>
      <c r="D10" s="1181"/>
      <c r="E10" s="1182"/>
      <c r="F10" s="1180" t="s">
        <v>488</v>
      </c>
      <c r="G10" s="1181"/>
      <c r="H10" s="1182"/>
      <c r="I10" s="991" t="s">
        <v>489</v>
      </c>
      <c r="J10" s="991" t="s">
        <v>490</v>
      </c>
      <c r="K10" s="301"/>
      <c r="L10" s="301"/>
      <c r="M10" s="301"/>
      <c r="N10" s="301"/>
    </row>
    <row r="11" spans="2:14" s="299" customFormat="1" ht="32">
      <c r="B11" s="1179"/>
      <c r="C11" s="303" t="s">
        <v>491</v>
      </c>
      <c r="D11" s="303" t="s">
        <v>492</v>
      </c>
      <c r="E11" s="303" t="s">
        <v>493</v>
      </c>
      <c r="F11" s="303" t="s">
        <v>508</v>
      </c>
      <c r="G11" s="303" t="s">
        <v>492</v>
      </c>
      <c r="H11" s="304" t="s">
        <v>494</v>
      </c>
      <c r="I11" s="991"/>
      <c r="J11" s="991"/>
      <c r="K11" s="301"/>
      <c r="L11" s="301"/>
      <c r="M11" s="301"/>
      <c r="N11" s="301"/>
    </row>
    <row r="12" spans="2:14" s="299" customFormat="1">
      <c r="B12" s="305"/>
      <c r="C12" s="306"/>
      <c r="D12" s="306"/>
      <c r="E12" s="306"/>
      <c r="F12" s="306"/>
      <c r="G12" s="306"/>
      <c r="H12" s="307"/>
      <c r="I12" s="307"/>
      <c r="J12" s="307"/>
      <c r="K12" s="301"/>
      <c r="L12" s="301"/>
      <c r="M12" s="301"/>
      <c r="N12" s="301"/>
    </row>
    <row r="13" spans="2:14" s="299" customFormat="1">
      <c r="B13" s="308" t="s">
        <v>507</v>
      </c>
      <c r="C13" s="309"/>
      <c r="D13" s="309"/>
      <c r="E13" s="309"/>
      <c r="F13" s="309"/>
      <c r="G13" s="309"/>
      <c r="H13" s="309"/>
      <c r="I13" s="310"/>
      <c r="J13" s="310"/>
      <c r="K13" s="301"/>
      <c r="L13" s="301"/>
      <c r="M13" s="301"/>
      <c r="N13" s="301"/>
    </row>
    <row r="14" spans="2:14" s="299" customFormat="1">
      <c r="B14" s="308"/>
      <c r="C14" s="309"/>
      <c r="D14" s="309"/>
      <c r="E14" s="309"/>
      <c r="F14" s="309"/>
      <c r="G14" s="309"/>
      <c r="H14" s="309"/>
      <c r="I14" s="310"/>
      <c r="J14" s="310"/>
      <c r="K14" s="301"/>
      <c r="L14" s="301"/>
      <c r="M14" s="301"/>
      <c r="N14" s="301"/>
    </row>
    <row r="15" spans="2:14" s="299" customFormat="1" ht="16">
      <c r="B15" s="876" t="s">
        <v>940</v>
      </c>
      <c r="C15" s="877">
        <v>42916</v>
      </c>
      <c r="D15" s="603">
        <f>38640000/(10^7)</f>
        <v>3.8639999999999999</v>
      </c>
      <c r="E15" s="881" t="s">
        <v>944</v>
      </c>
      <c r="F15" s="877">
        <v>42916</v>
      </c>
      <c r="G15" s="603">
        <f>38640000/(10^7)</f>
        <v>3.8639999999999999</v>
      </c>
      <c r="H15" s="812">
        <f>G15/D15</f>
        <v>1</v>
      </c>
      <c r="I15" s="588">
        <f>F15-C15</f>
        <v>0</v>
      </c>
      <c r="J15" s="709">
        <f>G15-D15</f>
        <v>0</v>
      </c>
      <c r="K15" s="301"/>
      <c r="L15" s="301"/>
      <c r="M15" s="301"/>
      <c r="N15" s="301"/>
    </row>
    <row r="16" spans="2:14" s="299" customFormat="1" ht="16">
      <c r="B16" s="876" t="s">
        <v>940</v>
      </c>
      <c r="C16" s="881"/>
      <c r="D16" s="603">
        <f>0/(10^7)</f>
        <v>0</v>
      </c>
      <c r="E16" s="881"/>
      <c r="F16" s="877">
        <v>42978</v>
      </c>
      <c r="G16" s="603">
        <f>1228043863/(10^7)</f>
        <v>122.8043863</v>
      </c>
      <c r="H16" s="309"/>
      <c r="I16" s="310"/>
      <c r="J16" s="310"/>
      <c r="K16" s="301"/>
      <c r="L16" s="301"/>
      <c r="M16" s="301"/>
      <c r="N16" s="301"/>
    </row>
    <row r="17" spans="2:14" s="299" customFormat="1" ht="16">
      <c r="B17" s="876" t="s">
        <v>940</v>
      </c>
      <c r="C17" s="881"/>
      <c r="D17" s="603">
        <f>0/(10^7)</f>
        <v>0</v>
      </c>
      <c r="E17" s="881"/>
      <c r="F17" s="877">
        <v>43008</v>
      </c>
      <c r="G17" s="603">
        <f>36137/(10^7)</f>
        <v>3.6137000000000001E-3</v>
      </c>
      <c r="H17" s="309"/>
      <c r="I17" s="310"/>
      <c r="J17" s="310"/>
      <c r="K17" s="301"/>
      <c r="L17" s="301"/>
      <c r="M17" s="301"/>
      <c r="N17" s="301"/>
    </row>
    <row r="18" spans="2:14" s="299" customFormat="1" ht="16">
      <c r="B18" s="876"/>
      <c r="C18" s="881"/>
      <c r="D18" s="603"/>
      <c r="E18" s="881"/>
      <c r="F18" s="881"/>
      <c r="G18" s="603"/>
      <c r="H18" s="309"/>
      <c r="I18" s="310"/>
      <c r="J18" s="310"/>
      <c r="K18" s="301"/>
      <c r="L18" s="301"/>
      <c r="M18" s="301"/>
      <c r="N18" s="301"/>
    </row>
    <row r="19" spans="2:14" s="299" customFormat="1" ht="16">
      <c r="B19" s="876" t="s">
        <v>941</v>
      </c>
      <c r="C19" s="877">
        <v>42916</v>
      </c>
      <c r="D19" s="603">
        <f>23000000/(10^7)</f>
        <v>2.2999999999999998</v>
      </c>
      <c r="E19" s="881" t="s">
        <v>944</v>
      </c>
      <c r="F19" s="877">
        <v>42916</v>
      </c>
      <c r="G19" s="603">
        <f>23000000/(10^7)</f>
        <v>2.2999999999999998</v>
      </c>
      <c r="H19" s="812">
        <f>G19/D19</f>
        <v>1</v>
      </c>
      <c r="I19" s="588">
        <f>F19-C19</f>
        <v>0</v>
      </c>
      <c r="J19" s="709">
        <f>G19-D19</f>
        <v>0</v>
      </c>
      <c r="K19" s="301"/>
      <c r="L19" s="301"/>
      <c r="M19" s="301"/>
      <c r="N19" s="301"/>
    </row>
    <row r="20" spans="2:14" s="299" customFormat="1" ht="16">
      <c r="B20" s="876" t="s">
        <v>941</v>
      </c>
      <c r="C20" s="881"/>
      <c r="D20" s="603">
        <f>0/(10^7)</f>
        <v>0</v>
      </c>
      <c r="E20" s="881"/>
      <c r="F20" s="877">
        <v>42978</v>
      </c>
      <c r="G20" s="603">
        <f>730799281/(10^7)</f>
        <v>73.079928100000004</v>
      </c>
      <c r="H20" s="309"/>
      <c r="I20" s="310"/>
      <c r="J20" s="310"/>
      <c r="K20" s="301"/>
      <c r="L20" s="301"/>
      <c r="M20" s="301"/>
      <c r="N20" s="301"/>
    </row>
    <row r="21" spans="2:14" s="299" customFormat="1" ht="16">
      <c r="B21" s="876" t="s">
        <v>941</v>
      </c>
      <c r="C21" s="881"/>
      <c r="D21" s="603">
        <f>0/(10^7)</f>
        <v>0</v>
      </c>
      <c r="E21" s="881"/>
      <c r="F21" s="877">
        <v>43008</v>
      </c>
      <c r="G21" s="603">
        <f>200719/(10^7)</f>
        <v>2.00719E-2</v>
      </c>
      <c r="H21" s="309"/>
      <c r="I21" s="310"/>
      <c r="J21" s="310"/>
      <c r="K21" s="301"/>
      <c r="L21" s="301"/>
      <c r="M21" s="301"/>
      <c r="N21" s="301"/>
    </row>
    <row r="22" spans="2:14" s="299" customFormat="1" ht="16">
      <c r="B22" s="876"/>
      <c r="C22" s="881"/>
      <c r="D22" s="603"/>
      <c r="E22" s="881"/>
      <c r="F22" s="881"/>
      <c r="G22" s="603"/>
      <c r="H22" s="309"/>
      <c r="I22" s="310"/>
      <c r="J22" s="310"/>
      <c r="K22" s="301"/>
      <c r="L22" s="301"/>
      <c r="M22" s="301"/>
      <c r="N22" s="301"/>
    </row>
    <row r="23" spans="2:14" s="299" customFormat="1" ht="16">
      <c r="B23" s="876" t="s">
        <v>942</v>
      </c>
      <c r="C23" s="877">
        <v>42916</v>
      </c>
      <c r="D23" s="603">
        <f>13800000/(10^7)</f>
        <v>1.38</v>
      </c>
      <c r="E23" s="881" t="s">
        <v>944</v>
      </c>
      <c r="F23" s="877">
        <v>42916</v>
      </c>
      <c r="G23" s="603">
        <f>13800000/(10^7)</f>
        <v>1.38</v>
      </c>
      <c r="H23" s="812">
        <f>G23/D23</f>
        <v>1</v>
      </c>
      <c r="I23" s="588">
        <f>F23-C23</f>
        <v>0</v>
      </c>
      <c r="J23" s="709">
        <f>G23-D23</f>
        <v>0</v>
      </c>
      <c r="K23" s="301"/>
      <c r="L23" s="301"/>
      <c r="M23" s="301"/>
      <c r="N23" s="301"/>
    </row>
    <row r="24" spans="2:14" s="299" customFormat="1" ht="16">
      <c r="B24" s="876" t="s">
        <v>942</v>
      </c>
      <c r="C24" s="881"/>
      <c r="D24" s="603">
        <f>0/(10^7)</f>
        <v>0</v>
      </c>
      <c r="E24" s="881"/>
      <c r="F24" s="877">
        <v>42978</v>
      </c>
      <c r="G24" s="603">
        <f>435093778/(10^7)</f>
        <v>43.509377800000003</v>
      </c>
      <c r="H24" s="309"/>
      <c r="I24" s="310"/>
      <c r="J24" s="310"/>
      <c r="K24" s="301"/>
      <c r="L24" s="301"/>
      <c r="M24" s="301"/>
      <c r="N24" s="301"/>
    </row>
    <row r="25" spans="2:14" s="299" customFormat="1" ht="16">
      <c r="B25" s="876" t="s">
        <v>942</v>
      </c>
      <c r="C25" s="881"/>
      <c r="D25" s="603">
        <f>0/(10^7)</f>
        <v>0</v>
      </c>
      <c r="E25" s="881"/>
      <c r="F25" s="877">
        <v>43008</v>
      </c>
      <c r="G25" s="603">
        <f>607666/(10^7)</f>
        <v>6.0766599999999997E-2</v>
      </c>
      <c r="H25" s="309"/>
      <c r="I25" s="310"/>
      <c r="J25" s="310"/>
      <c r="K25" s="301"/>
      <c r="L25" s="301"/>
      <c r="M25" s="301"/>
      <c r="N25" s="301"/>
    </row>
    <row r="26" spans="2:14" s="299" customFormat="1" ht="16">
      <c r="B26" s="876"/>
      <c r="C26" s="881"/>
      <c r="D26" s="603"/>
      <c r="E26" s="881"/>
      <c r="F26" s="881"/>
      <c r="G26" s="603"/>
      <c r="H26" s="309"/>
      <c r="I26" s="310"/>
      <c r="J26" s="310"/>
      <c r="K26" s="301"/>
      <c r="L26" s="301"/>
      <c r="M26" s="301"/>
      <c r="N26" s="301"/>
    </row>
    <row r="27" spans="2:14" s="299" customFormat="1" ht="16">
      <c r="B27" s="875" t="s">
        <v>943</v>
      </c>
      <c r="C27" s="877">
        <v>43008</v>
      </c>
      <c r="D27" s="603">
        <f>52250000/(10^7)</f>
        <v>5.2249999999999996</v>
      </c>
      <c r="E27" s="881" t="s">
        <v>945</v>
      </c>
      <c r="F27" s="877">
        <v>43007</v>
      </c>
      <c r="G27" s="603">
        <f>52250000/(10^7)</f>
        <v>5.2249999999999996</v>
      </c>
      <c r="H27" s="812">
        <f>G27/D27</f>
        <v>1</v>
      </c>
      <c r="I27" s="588">
        <f t="shared" ref="I27:J29" si="0">F27-C27</f>
        <v>-1</v>
      </c>
      <c r="J27" s="709">
        <f t="shared" si="0"/>
        <v>0</v>
      </c>
      <c r="K27" s="301"/>
      <c r="L27" s="301"/>
      <c r="M27" s="301"/>
      <c r="N27" s="301"/>
    </row>
    <row r="28" spans="2:14" s="299" customFormat="1" ht="16">
      <c r="B28" s="875" t="s">
        <v>943</v>
      </c>
      <c r="C28" s="877">
        <v>43100</v>
      </c>
      <c r="D28" s="603">
        <f>52250000/(10^7)</f>
        <v>5.2249999999999996</v>
      </c>
      <c r="E28" s="881" t="s">
        <v>946</v>
      </c>
      <c r="F28" s="877">
        <v>43099</v>
      </c>
      <c r="G28" s="603">
        <f>52250000/(10^7)</f>
        <v>5.2249999999999996</v>
      </c>
      <c r="H28" s="812">
        <f>G28/D28</f>
        <v>1</v>
      </c>
      <c r="I28" s="588">
        <f t="shared" si="0"/>
        <v>-1</v>
      </c>
      <c r="J28" s="709">
        <f t="shared" si="0"/>
        <v>0</v>
      </c>
      <c r="K28" s="301"/>
      <c r="L28" s="301"/>
      <c r="M28" s="301"/>
      <c r="N28" s="301"/>
    </row>
    <row r="29" spans="2:14" s="299" customFormat="1" ht="16">
      <c r="B29" s="875" t="s">
        <v>943</v>
      </c>
      <c r="C29" s="877">
        <v>43190</v>
      </c>
      <c r="D29" s="603">
        <f>52250000/(10^7)</f>
        <v>5.2249999999999996</v>
      </c>
      <c r="E29" s="881" t="s">
        <v>947</v>
      </c>
      <c r="F29" s="877">
        <v>43187</v>
      </c>
      <c r="G29" s="603">
        <f>52250000/(10^7)</f>
        <v>5.2249999999999996</v>
      </c>
      <c r="H29" s="812">
        <f>G29/D29</f>
        <v>1</v>
      </c>
      <c r="I29" s="588">
        <f t="shared" si="0"/>
        <v>-3</v>
      </c>
      <c r="J29" s="709">
        <f t="shared" si="0"/>
        <v>0</v>
      </c>
      <c r="K29" s="301"/>
      <c r="L29" s="301"/>
      <c r="M29" s="301"/>
      <c r="N29" s="301"/>
    </row>
    <row r="30" spans="2:14" s="299" customFormat="1">
      <c r="B30" s="310"/>
      <c r="C30" s="881"/>
      <c r="D30" s="881"/>
      <c r="E30" s="881"/>
      <c r="F30" s="881"/>
      <c r="G30" s="881"/>
      <c r="H30" s="309"/>
      <c r="I30" s="310"/>
      <c r="J30" s="310"/>
      <c r="K30" s="301"/>
      <c r="L30" s="301"/>
      <c r="M30" s="301"/>
      <c r="N30" s="301"/>
    </row>
    <row r="31" spans="2:14" s="299" customFormat="1">
      <c r="B31" s="310"/>
      <c r="C31" s="881"/>
      <c r="D31" s="883"/>
      <c r="E31" s="881"/>
      <c r="F31" s="881"/>
      <c r="G31" s="883"/>
      <c r="H31" s="309"/>
      <c r="I31" s="310"/>
      <c r="J31" s="310"/>
      <c r="K31" s="301"/>
      <c r="L31" s="301"/>
      <c r="M31" s="301"/>
      <c r="N31" s="301"/>
    </row>
    <row r="32" spans="2:14" s="299" customFormat="1">
      <c r="B32" s="310"/>
      <c r="C32" s="309"/>
      <c r="D32" s="309"/>
      <c r="E32" s="309"/>
      <c r="F32" s="309"/>
      <c r="G32" s="309"/>
      <c r="H32" s="309"/>
      <c r="I32" s="310"/>
      <c r="J32" s="310"/>
      <c r="K32" s="301"/>
      <c r="L32" s="301"/>
      <c r="M32" s="301"/>
      <c r="N32" s="301"/>
    </row>
    <row r="33" spans="2:21" s="299" customFormat="1">
      <c r="B33" s="880" t="s">
        <v>948</v>
      </c>
      <c r="C33" s="881"/>
      <c r="D33" s="874">
        <f>SUM(D15:D32)</f>
        <v>23.219000000000001</v>
      </c>
      <c r="E33" s="881"/>
      <c r="F33" s="881"/>
      <c r="G33" s="874">
        <f>G15+G19+G23+SUM(G27:G29)</f>
        <v>23.218999999999998</v>
      </c>
      <c r="H33" s="881"/>
      <c r="I33" s="882"/>
      <c r="J33" s="882"/>
      <c r="K33" s="301"/>
      <c r="L33" s="301"/>
      <c r="M33" s="301"/>
      <c r="N33" s="301"/>
    </row>
    <row r="34" spans="2:21" s="299" customFormat="1">
      <c r="B34" s="880" t="s">
        <v>949</v>
      </c>
      <c r="C34" s="881"/>
      <c r="D34" s="881"/>
      <c r="E34" s="881"/>
      <c r="F34" s="881"/>
      <c r="G34" s="874">
        <f>G16+G17+G20+G21+G24+G25</f>
        <v>239.47814440000002</v>
      </c>
      <c r="H34" s="881"/>
      <c r="I34" s="882"/>
      <c r="J34" s="882"/>
      <c r="K34" s="301"/>
      <c r="L34" s="301"/>
      <c r="M34" s="301"/>
      <c r="N34" s="301"/>
    </row>
    <row r="35" spans="2:21" s="299" customFormat="1">
      <c r="B35" s="605"/>
      <c r="C35" s="605"/>
      <c r="D35" s="605"/>
      <c r="E35" s="605"/>
      <c r="F35" s="605"/>
      <c r="G35" s="605"/>
      <c r="H35" s="605"/>
      <c r="I35" s="605"/>
      <c r="J35" s="301"/>
      <c r="K35" s="301"/>
      <c r="L35" s="301"/>
      <c r="M35" s="301"/>
      <c r="N35" s="301"/>
    </row>
    <row r="36" spans="2:21">
      <c r="B36" s="302" t="s">
        <v>584</v>
      </c>
      <c r="C36" s="295"/>
      <c r="D36" s="295"/>
      <c r="E36" s="295"/>
      <c r="F36" s="295"/>
      <c r="G36" s="295"/>
      <c r="H36" s="295"/>
    </row>
    <row r="37" spans="2:21">
      <c r="B37" s="302"/>
      <c r="C37" s="295"/>
      <c r="D37" s="295"/>
      <c r="E37" s="295"/>
      <c r="F37" s="295"/>
      <c r="G37" s="295"/>
      <c r="H37" s="295"/>
    </row>
    <row r="38" spans="2:21">
      <c r="B38" s="296" t="s">
        <v>643</v>
      </c>
      <c r="C38" s="295"/>
      <c r="D38" s="295"/>
      <c r="E38" s="295"/>
      <c r="F38" s="295"/>
      <c r="G38" s="295"/>
      <c r="H38" s="295"/>
    </row>
    <row r="39" spans="2:21">
      <c r="B39" s="298"/>
    </row>
    <row r="40" spans="2:21">
      <c r="B40" s="1178" t="s">
        <v>4</v>
      </c>
      <c r="C40" s="1180" t="s">
        <v>487</v>
      </c>
      <c r="D40" s="1181"/>
      <c r="E40" s="1182"/>
      <c r="F40" s="1180" t="s">
        <v>488</v>
      </c>
      <c r="G40" s="1181"/>
      <c r="H40" s="1182"/>
      <c r="I40" s="991" t="s">
        <v>489</v>
      </c>
      <c r="J40" s="991" t="s">
        <v>490</v>
      </c>
    </row>
    <row r="41" spans="2:21" ht="32">
      <c r="B41" s="1179"/>
      <c r="C41" s="303" t="s">
        <v>491</v>
      </c>
      <c r="D41" s="303" t="s">
        <v>492</v>
      </c>
      <c r="E41" s="303" t="s">
        <v>493</v>
      </c>
      <c r="F41" s="303" t="s">
        <v>508</v>
      </c>
      <c r="G41" s="303" t="s">
        <v>492</v>
      </c>
      <c r="H41" s="304" t="s">
        <v>494</v>
      </c>
      <c r="I41" s="991"/>
      <c r="J41" s="991"/>
    </row>
    <row r="42" spans="2:21">
      <c r="B42" s="305"/>
      <c r="C42" s="306"/>
      <c r="D42" s="306"/>
      <c r="E42" s="306"/>
      <c r="F42" s="306"/>
      <c r="G42" s="306"/>
      <c r="H42" s="307"/>
      <c r="I42" s="307"/>
      <c r="J42" s="307"/>
    </row>
    <row r="43" spans="2:21" s="296" customFormat="1">
      <c r="B43" s="308" t="s">
        <v>507</v>
      </c>
      <c r="C43" s="309"/>
      <c r="D43" s="309"/>
      <c r="E43" s="309"/>
      <c r="F43" s="309"/>
      <c r="G43" s="309"/>
      <c r="H43" s="309"/>
      <c r="I43" s="310"/>
      <c r="J43" s="310"/>
      <c r="K43" s="298"/>
      <c r="L43" s="298"/>
      <c r="M43" s="298"/>
      <c r="N43" s="298"/>
      <c r="O43" s="298"/>
      <c r="P43" s="298"/>
      <c r="Q43" s="298"/>
      <c r="R43" s="298"/>
      <c r="S43" s="298"/>
      <c r="T43" s="298"/>
      <c r="U43" s="298"/>
    </row>
    <row r="44" spans="2:21" s="296" customFormat="1">
      <c r="B44" s="886"/>
      <c r="C44" s="887"/>
      <c r="D44" s="887"/>
      <c r="E44" s="887"/>
      <c r="F44" s="887"/>
      <c r="G44" s="887"/>
      <c r="H44" s="309"/>
      <c r="I44" s="310"/>
      <c r="J44" s="310"/>
      <c r="K44" s="298"/>
      <c r="L44" s="298"/>
      <c r="M44" s="298"/>
      <c r="N44" s="298"/>
      <c r="O44" s="298"/>
      <c r="P44" s="298"/>
      <c r="Q44" s="298"/>
      <c r="R44" s="298"/>
      <c r="S44" s="298"/>
      <c r="T44" s="298"/>
      <c r="U44" s="298"/>
    </row>
    <row r="45" spans="2:21" s="296" customFormat="1">
      <c r="B45" s="889" t="s">
        <v>943</v>
      </c>
      <c r="C45" s="877">
        <v>43281</v>
      </c>
      <c r="D45" s="603">
        <f>52250000/(10^7)</f>
        <v>5.2249999999999996</v>
      </c>
      <c r="E45" s="877">
        <v>43281</v>
      </c>
      <c r="F45" s="877">
        <v>43281</v>
      </c>
      <c r="G45" s="603">
        <f>52250000/(10^7)</f>
        <v>5.2249999999999996</v>
      </c>
      <c r="H45" s="812">
        <f>G45/D45</f>
        <v>1</v>
      </c>
      <c r="I45" s="588">
        <f>F45-C45</f>
        <v>0</v>
      </c>
      <c r="J45" s="709">
        <f>D45-G45</f>
        <v>0</v>
      </c>
      <c r="K45" s="298"/>
      <c r="L45" s="298"/>
      <c r="M45" s="298"/>
      <c r="N45" s="298"/>
      <c r="O45" s="298"/>
      <c r="P45" s="298"/>
      <c r="Q45" s="298"/>
      <c r="R45" s="298"/>
      <c r="S45" s="298"/>
      <c r="T45" s="298"/>
      <c r="U45" s="298"/>
    </row>
    <row r="46" spans="2:21" s="296" customFormat="1">
      <c r="B46" s="889" t="s">
        <v>943</v>
      </c>
      <c r="C46" s="877">
        <v>43373</v>
      </c>
      <c r="D46" s="603">
        <f>52250000/(10^7)</f>
        <v>5.2249999999999996</v>
      </c>
      <c r="E46" s="877">
        <v>43373</v>
      </c>
      <c r="F46" s="877">
        <v>43371</v>
      </c>
      <c r="G46" s="603">
        <f>52250000/(10^7)</f>
        <v>5.2249999999999996</v>
      </c>
      <c r="H46" s="812">
        <f t="shared" ref="H46:H51" si="1">G46/D46</f>
        <v>1</v>
      </c>
      <c r="I46" s="588">
        <f>F46-C46</f>
        <v>-2</v>
      </c>
      <c r="J46" s="709">
        <f>D46-G46</f>
        <v>0</v>
      </c>
      <c r="K46" s="298"/>
      <c r="L46" s="298"/>
      <c r="M46" s="298"/>
      <c r="N46" s="298"/>
      <c r="O46" s="298"/>
      <c r="P46" s="298"/>
      <c r="Q46" s="298"/>
      <c r="R46" s="298"/>
      <c r="S46" s="298"/>
      <c r="T46" s="298"/>
      <c r="U46" s="298"/>
    </row>
    <row r="47" spans="2:21" s="296" customFormat="1">
      <c r="B47" s="889" t="s">
        <v>943</v>
      </c>
      <c r="C47" s="887"/>
      <c r="D47" s="603">
        <f>0/(10^7)</f>
        <v>0</v>
      </c>
      <c r="E47" s="887"/>
      <c r="F47" s="877">
        <v>43409</v>
      </c>
      <c r="G47" s="603">
        <f>80000000/(10^7)</f>
        <v>8</v>
      </c>
      <c r="H47" s="812"/>
      <c r="I47" s="310"/>
      <c r="J47" s="310"/>
      <c r="K47" s="298"/>
      <c r="L47" s="298"/>
      <c r="M47" s="298"/>
      <c r="N47" s="298"/>
      <c r="O47" s="298"/>
      <c r="P47" s="298"/>
      <c r="Q47" s="298"/>
      <c r="R47" s="298"/>
      <c r="S47" s="298"/>
      <c r="T47" s="298"/>
      <c r="U47" s="298"/>
    </row>
    <row r="48" spans="2:21" s="878" customFormat="1">
      <c r="B48" s="889" t="s">
        <v>943</v>
      </c>
      <c r="C48" s="877">
        <v>43465</v>
      </c>
      <c r="D48" s="603">
        <f>52250000/(10^7)</f>
        <v>5.2249999999999996</v>
      </c>
      <c r="E48" s="877">
        <v>43465</v>
      </c>
      <c r="F48" s="877">
        <v>43465</v>
      </c>
      <c r="G48" s="603">
        <f>52250000/(10^7)</f>
        <v>5.2249999999999996</v>
      </c>
      <c r="H48" s="812">
        <f t="shared" si="1"/>
        <v>1</v>
      </c>
      <c r="I48" s="588">
        <f t="shared" ref="I48:I49" si="2">F48-C48</f>
        <v>0</v>
      </c>
      <c r="J48" s="709">
        <f>D48-G48</f>
        <v>0</v>
      </c>
      <c r="K48" s="879"/>
      <c r="L48" s="879"/>
      <c r="M48" s="879"/>
      <c r="N48" s="879"/>
      <c r="O48" s="879"/>
      <c r="P48" s="879"/>
      <c r="Q48" s="879"/>
      <c r="R48" s="879"/>
      <c r="S48" s="879"/>
      <c r="T48" s="879"/>
      <c r="U48" s="879"/>
    </row>
    <row r="49" spans="2:21" s="296" customFormat="1">
      <c r="B49" s="889" t="s">
        <v>943</v>
      </c>
      <c r="C49" s="877">
        <v>43555</v>
      </c>
      <c r="D49" s="603">
        <f>52250000/(10^7)</f>
        <v>5.2249999999999996</v>
      </c>
      <c r="E49" s="877">
        <v>43555</v>
      </c>
      <c r="F49" s="877">
        <v>43553</v>
      </c>
      <c r="G49" s="603">
        <f>52250000/(10^7)</f>
        <v>5.2249999999999996</v>
      </c>
      <c r="H49" s="812">
        <f t="shared" si="1"/>
        <v>1</v>
      </c>
      <c r="I49" s="588">
        <f t="shared" si="2"/>
        <v>-2</v>
      </c>
      <c r="J49" s="709">
        <f>D49-G49</f>
        <v>0</v>
      </c>
      <c r="K49" s="298"/>
      <c r="L49" s="298"/>
      <c r="M49" s="298"/>
      <c r="N49" s="298"/>
      <c r="O49" s="298"/>
      <c r="P49" s="298"/>
      <c r="Q49" s="298"/>
      <c r="R49" s="298"/>
      <c r="S49" s="298"/>
      <c r="T49" s="298"/>
      <c r="U49" s="298"/>
    </row>
    <row r="50" spans="2:21" s="884" customFormat="1">
      <c r="B50" s="889"/>
      <c r="C50" s="887"/>
      <c r="D50" s="890"/>
      <c r="E50" s="887"/>
      <c r="F50" s="887"/>
      <c r="G50" s="890"/>
      <c r="H50" s="887"/>
      <c r="I50" s="888"/>
      <c r="J50" s="888"/>
      <c r="K50" s="885"/>
      <c r="L50" s="885"/>
      <c r="M50" s="885"/>
      <c r="N50" s="885"/>
      <c r="O50" s="885"/>
      <c r="P50" s="885"/>
      <c r="Q50" s="885"/>
      <c r="R50" s="885"/>
      <c r="S50" s="885"/>
      <c r="T50" s="885"/>
      <c r="U50" s="885"/>
    </row>
    <row r="51" spans="2:21">
      <c r="B51" s="880" t="s">
        <v>23</v>
      </c>
      <c r="C51" s="881"/>
      <c r="D51" s="874">
        <f>SUM(D45:D50)</f>
        <v>20.9</v>
      </c>
      <c r="E51" s="881"/>
      <c r="F51" s="881"/>
      <c r="G51" s="874">
        <f>SUM(G45:G50)</f>
        <v>28.9</v>
      </c>
      <c r="H51" s="812">
        <f t="shared" si="1"/>
        <v>1.3827751196172249</v>
      </c>
      <c r="I51" s="310"/>
      <c r="J51" s="310"/>
    </row>
    <row r="52" spans="2:21">
      <c r="B52" s="308"/>
      <c r="C52" s="309"/>
      <c r="D52" s="309"/>
      <c r="E52" s="309"/>
      <c r="F52" s="309"/>
      <c r="G52" s="309"/>
      <c r="H52" s="309"/>
      <c r="I52" s="310"/>
      <c r="J52" s="310"/>
    </row>
    <row r="53" spans="2:21">
      <c r="B53" s="298"/>
    </row>
    <row r="54" spans="2:21">
      <c r="B54" s="298"/>
    </row>
    <row r="55" spans="2:21">
      <c r="B55" s="550"/>
    </row>
    <row r="56" spans="2:21">
      <c r="B56" s="550"/>
    </row>
  </sheetData>
  <mergeCells count="13">
    <mergeCell ref="B2:J2"/>
    <mergeCell ref="B3:J3"/>
    <mergeCell ref="B4:J4"/>
    <mergeCell ref="B40:B41"/>
    <mergeCell ref="C40:E40"/>
    <mergeCell ref="F40:H40"/>
    <mergeCell ref="I40:I41"/>
    <mergeCell ref="J40:J41"/>
    <mergeCell ref="B10:B11"/>
    <mergeCell ref="C10:E10"/>
    <mergeCell ref="F10:H10"/>
    <mergeCell ref="I10:I11"/>
    <mergeCell ref="J10:J11"/>
  </mergeCells>
  <pageMargins left="0.43307086614173229" right="0.43307086614173229" top="0.43307086614173229" bottom="0.43307086614173229" header="0.31496062992125984" footer="0.31496062992125984"/>
  <pageSetup paperSize="9" scale="64" orientation="landscape" r:id="rId1"/>
  <headerFoot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N71"/>
  <sheetViews>
    <sheetView showGridLines="0" view="pageBreakPreview" topLeftCell="A57" zoomScale="70" zoomScaleNormal="75" zoomScaleSheetLayoutView="70" workbookViewId="0">
      <selection activeCell="K83" sqref="K83"/>
    </sheetView>
  </sheetViews>
  <sheetFormatPr baseColWidth="10" defaultColWidth="9.1640625" defaultRowHeight="15"/>
  <cols>
    <col min="1" max="1" width="6.83203125" style="275" customWidth="1"/>
    <col min="2" max="2" width="9.1640625" style="273" customWidth="1"/>
    <col min="3" max="3" width="54.1640625" style="275" bestFit="1" customWidth="1"/>
    <col min="4" max="4" width="12" style="275" customWidth="1"/>
    <col min="5" max="5" width="11.6640625" style="275" customWidth="1"/>
    <col min="6" max="6" width="12.5" style="275" bestFit="1" customWidth="1"/>
    <col min="7" max="7" width="14.5" style="275" customWidth="1"/>
    <col min="8" max="8" width="15.1640625" style="275" customWidth="1"/>
    <col min="9" max="9" width="19.6640625" style="275" customWidth="1"/>
    <col min="10" max="10" width="17" style="275" customWidth="1"/>
    <col min="11" max="11" width="11.6640625" style="275" hidden="1" customWidth="1"/>
    <col min="12" max="12" width="11" style="275" customWidth="1"/>
    <col min="13" max="13" width="13.83203125" style="275" customWidth="1"/>
    <col min="14" max="14" width="16" style="275" customWidth="1"/>
    <col min="15" max="16384" width="9.1640625" style="275"/>
  </cols>
  <sheetData>
    <row r="2" spans="2:14">
      <c r="B2" s="1057" t="str">
        <f>Index!B2</f>
        <v>Jaigad Power Transco Ltd</v>
      </c>
      <c r="C2" s="1057"/>
      <c r="D2" s="1057"/>
      <c r="E2" s="1057"/>
      <c r="F2" s="1057"/>
      <c r="G2" s="1057"/>
      <c r="H2" s="1057"/>
      <c r="I2" s="1057"/>
      <c r="J2" s="1057"/>
      <c r="K2" s="274"/>
      <c r="L2" s="274"/>
      <c r="M2" s="274"/>
      <c r="N2" s="274"/>
    </row>
    <row r="3" spans="2:14" s="9" customFormat="1">
      <c r="B3" s="1156" t="s">
        <v>186</v>
      </c>
      <c r="C3" s="1156"/>
      <c r="D3" s="1156"/>
      <c r="E3" s="1156"/>
      <c r="F3" s="1156"/>
      <c r="G3" s="1156"/>
      <c r="H3" s="1156"/>
      <c r="I3" s="1156"/>
      <c r="J3" s="1156"/>
      <c r="K3" s="19"/>
      <c r="L3" s="19"/>
      <c r="M3" s="19"/>
      <c r="N3" s="16"/>
    </row>
    <row r="4" spans="2:14" s="9" customFormat="1">
      <c r="B4" s="1157" t="s">
        <v>686</v>
      </c>
      <c r="C4" s="1157"/>
      <c r="D4" s="1157"/>
      <c r="E4" s="1157"/>
      <c r="F4" s="1157"/>
      <c r="G4" s="1157"/>
      <c r="H4" s="1157"/>
      <c r="I4" s="1157"/>
      <c r="J4" s="1157"/>
      <c r="K4" s="277"/>
      <c r="L4" s="277"/>
      <c r="M4" s="277"/>
      <c r="N4" s="277"/>
    </row>
    <row r="5" spans="2:14" s="9" customFormat="1">
      <c r="B5" s="592"/>
      <c r="C5" s="592"/>
      <c r="D5" s="592"/>
      <c r="E5" s="592"/>
      <c r="F5" s="592"/>
      <c r="G5" s="592"/>
      <c r="H5" s="592"/>
      <c r="I5" s="592"/>
      <c r="J5" s="277"/>
      <c r="K5" s="277"/>
      <c r="L5" s="277"/>
      <c r="M5" s="277"/>
      <c r="N5" s="277"/>
    </row>
    <row r="6" spans="2:14" s="9" customFormat="1">
      <c r="B6" s="10" t="s">
        <v>213</v>
      </c>
      <c r="C6" s="274"/>
      <c r="D6" s="274"/>
      <c r="E6" s="274"/>
      <c r="F6" s="274"/>
      <c r="G6" s="274"/>
      <c r="H6" s="274"/>
      <c r="I6" s="274"/>
      <c r="J6" s="274"/>
      <c r="K6" s="277"/>
      <c r="L6" s="277"/>
      <c r="M6" s="277"/>
      <c r="N6" s="277"/>
    </row>
    <row r="7" spans="2:14" s="9" customFormat="1">
      <c r="B7" s="10"/>
      <c r="C7" s="274"/>
      <c r="D7" s="274"/>
      <c r="E7" s="274"/>
      <c r="F7" s="274"/>
      <c r="G7" s="274"/>
      <c r="H7" s="274"/>
      <c r="I7" s="274"/>
      <c r="J7" s="274"/>
      <c r="K7" s="277"/>
      <c r="L7" s="277"/>
      <c r="M7" s="277"/>
      <c r="N7" s="277"/>
    </row>
    <row r="8" spans="2:14" s="9" customFormat="1">
      <c r="B8" s="273"/>
      <c r="C8" s="275"/>
      <c r="D8" s="275"/>
      <c r="E8" s="275"/>
      <c r="F8" s="275"/>
      <c r="G8" s="275"/>
      <c r="H8" s="275"/>
      <c r="I8" s="278" t="s">
        <v>33</v>
      </c>
      <c r="J8" s="275"/>
      <c r="K8" s="277"/>
      <c r="L8" s="277"/>
      <c r="M8" s="277"/>
      <c r="N8" s="277"/>
    </row>
    <row r="9" spans="2:14" s="9" customFormat="1" ht="48">
      <c r="B9" s="314" t="s">
        <v>226</v>
      </c>
      <c r="C9" s="313" t="s">
        <v>4</v>
      </c>
      <c r="D9" s="314" t="s">
        <v>313</v>
      </c>
      <c r="E9" s="314" t="s">
        <v>26</v>
      </c>
      <c r="F9" s="314" t="s">
        <v>201</v>
      </c>
      <c r="G9" s="314" t="s">
        <v>202</v>
      </c>
      <c r="H9" s="314" t="s">
        <v>203</v>
      </c>
      <c r="I9" s="314" t="s">
        <v>204</v>
      </c>
      <c r="J9" s="314" t="s">
        <v>525</v>
      </c>
      <c r="K9" s="277"/>
      <c r="L9" s="277"/>
      <c r="M9" s="277"/>
      <c r="N9" s="277"/>
    </row>
    <row r="10" spans="2:14" s="9" customFormat="1">
      <c r="B10" s="279"/>
      <c r="C10" s="280"/>
      <c r="D10" s="280"/>
      <c r="E10" s="280"/>
      <c r="F10" s="280"/>
      <c r="G10" s="280"/>
      <c r="H10" s="280"/>
      <c r="I10" s="280"/>
      <c r="J10" s="280"/>
      <c r="K10" s="277"/>
      <c r="L10" s="277"/>
      <c r="M10" s="277"/>
      <c r="N10" s="277"/>
    </row>
    <row r="11" spans="2:14" s="9" customFormat="1">
      <c r="B11" s="281">
        <v>1</v>
      </c>
      <c r="C11" s="282" t="s">
        <v>34</v>
      </c>
      <c r="D11" s="606">
        <v>4.4400000000000004</v>
      </c>
      <c r="E11" s="606">
        <f>'F1 '!F9</f>
        <v>4.2770514790000007</v>
      </c>
      <c r="F11" s="606">
        <f>E11-D11</f>
        <v>-0.16294852099999968</v>
      </c>
      <c r="G11" s="280"/>
      <c r="H11" s="606">
        <f>('F2.1 '!D56-'F2'!F14)</f>
        <v>0.28854852099999917</v>
      </c>
      <c r="I11" s="280"/>
      <c r="J11" s="606">
        <f>E11+H11*1/3</f>
        <v>4.3732343193333341</v>
      </c>
      <c r="K11" s="760">
        <f>J11-E11</f>
        <v>9.6182840333333353E-2</v>
      </c>
      <c r="L11" s="277"/>
      <c r="M11" s="277"/>
      <c r="N11" s="277"/>
    </row>
    <row r="12" spans="2:14" s="9" customFormat="1">
      <c r="B12" s="281">
        <f>B11+1</f>
        <v>2</v>
      </c>
      <c r="C12" s="280" t="s">
        <v>184</v>
      </c>
      <c r="D12" s="588">
        <v>29.1</v>
      </c>
      <c r="E12" s="606">
        <f>'F1 '!F10</f>
        <v>29.096818923540006</v>
      </c>
      <c r="F12" s="606">
        <f t="shared" ref="F12:F22" si="0">E12-D12</f>
        <v>-3.1810764599953245E-3</v>
      </c>
      <c r="G12" s="280"/>
      <c r="H12" s="280"/>
      <c r="I12" s="280"/>
      <c r="J12" s="606">
        <f>E12</f>
        <v>29.096818923540006</v>
      </c>
      <c r="K12" s="760">
        <f t="shared" ref="K12:K20" si="1">J12-E12</f>
        <v>0</v>
      </c>
      <c r="L12" s="277"/>
      <c r="M12" s="277"/>
      <c r="N12" s="277"/>
    </row>
    <row r="13" spans="2:14" s="9" customFormat="1">
      <c r="B13" s="281">
        <f t="shared" ref="B13:B25" si="2">B12+1</f>
        <v>3</v>
      </c>
      <c r="C13" s="282" t="s">
        <v>35</v>
      </c>
      <c r="D13" s="606">
        <f>'F5'!D23</f>
        <v>24.9286335</v>
      </c>
      <c r="E13" s="606">
        <f>'F1 '!F11</f>
        <v>24.812270243778684</v>
      </c>
      <c r="F13" s="606">
        <f t="shared" si="0"/>
        <v>-0.11636325622131594</v>
      </c>
      <c r="G13" s="280"/>
      <c r="H13" s="280"/>
      <c r="I13" s="280"/>
      <c r="J13" s="606">
        <f t="shared" ref="J13:J24" si="3">E13</f>
        <v>24.812270243778684</v>
      </c>
      <c r="K13" s="760">
        <f t="shared" si="1"/>
        <v>0</v>
      </c>
      <c r="L13" s="277"/>
      <c r="M13" s="277"/>
      <c r="N13" s="277"/>
    </row>
    <row r="14" spans="2:14" s="9" customFormat="1" ht="16">
      <c r="B14" s="281">
        <f t="shared" si="2"/>
        <v>4</v>
      </c>
      <c r="C14" s="283" t="s">
        <v>509</v>
      </c>
      <c r="D14" s="606">
        <f>'F6'!E18</f>
        <v>1.7472599999999998</v>
      </c>
      <c r="E14" s="606">
        <f>'F1 '!F12</f>
        <v>1.7374923011893204</v>
      </c>
      <c r="F14" s="606">
        <f t="shared" si="0"/>
        <v>-9.7676988106794038E-3</v>
      </c>
      <c r="G14" s="280"/>
      <c r="H14" s="606">
        <f>-E14</f>
        <v>-1.7374923011893204</v>
      </c>
      <c r="I14" s="280"/>
      <c r="J14" s="606">
        <f>E14+H14*2/3</f>
        <v>0.57916410039644006</v>
      </c>
      <c r="K14" s="760">
        <f t="shared" si="1"/>
        <v>-1.1583282007928803</v>
      </c>
      <c r="L14" s="277"/>
      <c r="M14" s="277"/>
      <c r="N14" s="277"/>
    </row>
    <row r="15" spans="2:14" s="9" customFormat="1">
      <c r="B15" s="281">
        <f t="shared" si="2"/>
        <v>5</v>
      </c>
      <c r="C15" s="282" t="s">
        <v>0</v>
      </c>
      <c r="D15" s="280">
        <f>'F9'!E10</f>
        <v>5.59</v>
      </c>
      <c r="E15" s="606">
        <f ca="1">'F1 '!F13</f>
        <v>6.5952084425721109</v>
      </c>
      <c r="F15" s="606">
        <f t="shared" ca="1" si="0"/>
        <v>1.0052084425721111</v>
      </c>
      <c r="G15" s="280"/>
      <c r="H15" s="280"/>
      <c r="I15" s="280"/>
      <c r="J15" s="606">
        <f t="shared" ca="1" si="3"/>
        <v>6.5952084425721109</v>
      </c>
      <c r="K15" s="760">
        <f t="shared" ca="1" si="1"/>
        <v>0</v>
      </c>
      <c r="L15" s="277"/>
      <c r="M15" s="277"/>
      <c r="N15" s="277"/>
    </row>
    <row r="16" spans="2:14" s="9" customFormat="1" ht="16">
      <c r="B16" s="281">
        <f t="shared" si="2"/>
        <v>6</v>
      </c>
      <c r="C16" s="283" t="s">
        <v>260</v>
      </c>
      <c r="D16" s="606">
        <f>'F10'!D12</f>
        <v>1.38</v>
      </c>
      <c r="E16" s="606">
        <f>'F1 '!F14</f>
        <v>1.3768242062500002</v>
      </c>
      <c r="F16" s="606">
        <f t="shared" si="0"/>
        <v>-3.1757937499996558E-3</v>
      </c>
      <c r="G16" s="280"/>
      <c r="H16" s="280"/>
      <c r="I16" s="280"/>
      <c r="J16" s="606">
        <f t="shared" si="3"/>
        <v>1.3768242062500002</v>
      </c>
      <c r="K16" s="760">
        <f t="shared" si="1"/>
        <v>0</v>
      </c>
      <c r="L16" s="277"/>
      <c r="M16" s="277"/>
      <c r="N16" s="277"/>
    </row>
    <row r="17" spans="2:14" s="9" customFormat="1">
      <c r="B17" s="281">
        <f t="shared" si="2"/>
        <v>7</v>
      </c>
      <c r="C17" s="284" t="s">
        <v>36</v>
      </c>
      <c r="D17" s="607">
        <f>SUM(D11:D16)</f>
        <v>67.185893499999992</v>
      </c>
      <c r="E17" s="607">
        <f t="shared" ref="E17:J17" ca="1" si="4">SUM(E11:E16)</f>
        <v>67.895665596330133</v>
      </c>
      <c r="F17" s="607">
        <f t="shared" ca="1" si="4"/>
        <v>0.70977209633012106</v>
      </c>
      <c r="G17" s="607">
        <f t="shared" si="4"/>
        <v>0</v>
      </c>
      <c r="H17" s="607">
        <f t="shared" si="4"/>
        <v>-1.4489437801893212</v>
      </c>
      <c r="I17" s="607">
        <f t="shared" si="4"/>
        <v>0</v>
      </c>
      <c r="J17" s="607">
        <f t="shared" ca="1" si="4"/>
        <v>66.83352023587058</v>
      </c>
      <c r="K17" s="277"/>
      <c r="L17" s="277"/>
      <c r="M17" s="277"/>
      <c r="N17" s="277"/>
    </row>
    <row r="18" spans="2:14" s="9" customFormat="1">
      <c r="B18" s="281">
        <f t="shared" si="2"/>
        <v>8</v>
      </c>
      <c r="C18" s="282" t="s">
        <v>91</v>
      </c>
      <c r="D18" s="606">
        <f>'F7'!D21</f>
        <v>21.435024999999996</v>
      </c>
      <c r="E18" s="606">
        <f>'F1 '!F16</f>
        <v>21.444634961099997</v>
      </c>
      <c r="F18" s="606">
        <f t="shared" si="0"/>
        <v>9.6099611000006746E-3</v>
      </c>
      <c r="G18" s="280"/>
      <c r="H18" s="280"/>
      <c r="I18" s="280"/>
      <c r="J18" s="606">
        <f t="shared" si="3"/>
        <v>21.444634961099997</v>
      </c>
      <c r="K18" s="760">
        <f t="shared" si="1"/>
        <v>0</v>
      </c>
      <c r="L18" s="277"/>
      <c r="M18" s="277"/>
      <c r="N18" s="277"/>
    </row>
    <row r="19" spans="2:14" s="9" customFormat="1">
      <c r="B19" s="281">
        <f t="shared" si="2"/>
        <v>9</v>
      </c>
      <c r="C19" s="284" t="s">
        <v>32</v>
      </c>
      <c r="D19" s="607">
        <f>D17+D18-0.01</f>
        <v>88.610918499999983</v>
      </c>
      <c r="E19" s="607">
        <f t="shared" ref="E19:J19" ca="1" si="5">E17+E18</f>
        <v>89.340300557430126</v>
      </c>
      <c r="F19" s="607">
        <f t="shared" ca="1" si="5"/>
        <v>0.71938205743012174</v>
      </c>
      <c r="G19" s="607">
        <f t="shared" si="5"/>
        <v>0</v>
      </c>
      <c r="H19" s="607">
        <f t="shared" si="5"/>
        <v>-1.4489437801893212</v>
      </c>
      <c r="I19" s="607">
        <f t="shared" si="5"/>
        <v>0</v>
      </c>
      <c r="J19" s="607">
        <f t="shared" ca="1" si="5"/>
        <v>88.278155196970573</v>
      </c>
      <c r="K19" s="277"/>
      <c r="L19" s="277"/>
      <c r="M19" s="277"/>
      <c r="N19" s="277"/>
    </row>
    <row r="20" spans="2:14" s="9" customFormat="1">
      <c r="B20" s="281">
        <f t="shared" si="2"/>
        <v>10</v>
      </c>
      <c r="C20" s="282" t="s">
        <v>29</v>
      </c>
      <c r="D20" s="606">
        <f>'F8'!D22</f>
        <v>0.68</v>
      </c>
      <c r="E20" s="606">
        <f>'F1 '!F18</f>
        <v>0.68292399999999986</v>
      </c>
      <c r="F20" s="606">
        <f t="shared" si="0"/>
        <v>2.9239999999998156E-3</v>
      </c>
      <c r="G20" s="280"/>
      <c r="H20" s="280"/>
      <c r="I20" s="280"/>
      <c r="J20" s="606">
        <f t="shared" si="3"/>
        <v>0.68292399999999986</v>
      </c>
      <c r="K20" s="760">
        <f t="shared" si="1"/>
        <v>0</v>
      </c>
      <c r="L20" s="277"/>
      <c r="M20" s="277"/>
      <c r="N20" s="277"/>
    </row>
    <row r="21" spans="2:14" s="9" customFormat="1">
      <c r="B21" s="281">
        <f t="shared" si="2"/>
        <v>11</v>
      </c>
      <c r="C21" s="282" t="s">
        <v>30</v>
      </c>
      <c r="D21" s="280"/>
      <c r="E21" s="606"/>
      <c r="F21" s="606">
        <f t="shared" si="0"/>
        <v>0</v>
      </c>
      <c r="G21" s="280"/>
      <c r="H21" s="280"/>
      <c r="I21" s="280"/>
      <c r="J21" s="606">
        <f t="shared" si="3"/>
        <v>0</v>
      </c>
      <c r="K21" s="277"/>
      <c r="L21" s="277"/>
      <c r="M21" s="277"/>
      <c r="N21" s="277"/>
    </row>
    <row r="22" spans="2:14" s="9" customFormat="1">
      <c r="B22" s="281">
        <f t="shared" si="2"/>
        <v>12</v>
      </c>
      <c r="C22" s="282" t="s">
        <v>756</v>
      </c>
      <c r="D22" s="280"/>
      <c r="E22" s="606">
        <f ca="1">'F1 '!F21</f>
        <v>1.7366201766218679</v>
      </c>
      <c r="F22" s="606">
        <f t="shared" ca="1" si="0"/>
        <v>1.7366201766218679</v>
      </c>
      <c r="G22" s="280"/>
      <c r="H22" s="280"/>
      <c r="I22" s="280"/>
      <c r="J22" s="606">
        <f t="shared" ca="1" si="3"/>
        <v>1.7366201766218679</v>
      </c>
      <c r="K22" s="277"/>
      <c r="L22" s="277"/>
      <c r="M22" s="277"/>
      <c r="N22" s="277"/>
    </row>
    <row r="23" spans="2:14" s="9" customFormat="1" ht="34">
      <c r="B23" s="281">
        <f t="shared" si="2"/>
        <v>13</v>
      </c>
      <c r="C23" s="763" t="s">
        <v>845</v>
      </c>
      <c r="D23" s="280"/>
      <c r="E23" s="606">
        <f>'F1 '!F23</f>
        <v>0.62777296065123045</v>
      </c>
      <c r="F23" s="606"/>
      <c r="G23" s="280"/>
      <c r="H23" s="280"/>
      <c r="I23" s="280"/>
      <c r="J23" s="606">
        <f t="shared" si="3"/>
        <v>0.62777296065123045</v>
      </c>
      <c r="K23" s="277"/>
      <c r="L23" s="277"/>
      <c r="M23" s="277"/>
      <c r="N23" s="277"/>
    </row>
    <row r="24" spans="2:14" s="9" customFormat="1" ht="51">
      <c r="B24" s="281">
        <f t="shared" si="2"/>
        <v>14</v>
      </c>
      <c r="C24" s="763" t="s">
        <v>911</v>
      </c>
      <c r="D24" s="280"/>
      <c r="E24" s="606">
        <f>'F1 '!F25</f>
        <v>16.187288669950739</v>
      </c>
      <c r="F24" s="606"/>
      <c r="G24" s="280"/>
      <c r="H24" s="280"/>
      <c r="I24" s="280"/>
      <c r="J24" s="606">
        <f t="shared" si="3"/>
        <v>16.187288669950739</v>
      </c>
      <c r="K24" s="277"/>
      <c r="L24" s="277"/>
      <c r="M24" s="277"/>
      <c r="N24" s="277"/>
    </row>
    <row r="25" spans="2:14" s="9" customFormat="1" ht="16">
      <c r="B25" s="281">
        <f t="shared" si="2"/>
        <v>15</v>
      </c>
      <c r="C25" s="285" t="s">
        <v>510</v>
      </c>
      <c r="D25" s="607">
        <f t="shared" ref="D25:J25" si="6">D19-D20-D21+D22+D23+D24</f>
        <v>87.930918499999976</v>
      </c>
      <c r="E25" s="607">
        <f t="shared" ca="1" si="6"/>
        <v>107.20905836465397</v>
      </c>
      <c r="F25" s="607">
        <f t="shared" ca="1" si="6"/>
        <v>2.4530782340519899</v>
      </c>
      <c r="G25" s="607">
        <f t="shared" si="6"/>
        <v>0</v>
      </c>
      <c r="H25" s="607">
        <f t="shared" si="6"/>
        <v>-1.4489437801893212</v>
      </c>
      <c r="I25" s="607">
        <f t="shared" si="6"/>
        <v>0</v>
      </c>
      <c r="J25" s="607">
        <f t="shared" ca="1" si="6"/>
        <v>106.1469130041944</v>
      </c>
      <c r="K25" s="760">
        <f ca="1">'F1 '!F35-J25</f>
        <v>0</v>
      </c>
      <c r="L25" s="277"/>
      <c r="M25" s="277"/>
      <c r="N25" s="277"/>
    </row>
    <row r="26" spans="2:14" s="9" customFormat="1">
      <c r="B26" s="286"/>
      <c r="C26" s="284"/>
      <c r="D26" s="280"/>
      <c r="E26" s="280"/>
      <c r="F26" s="280"/>
      <c r="G26" s="280"/>
      <c r="H26" s="280"/>
      <c r="I26" s="280"/>
      <c r="J26" s="280"/>
      <c r="K26" s="277"/>
      <c r="L26" s="277"/>
      <c r="M26" s="277"/>
      <c r="N26" s="277"/>
    </row>
    <row r="27" spans="2:14" s="9" customFormat="1" ht="16">
      <c r="B27" s="286">
        <f>B25+1</f>
        <v>16</v>
      </c>
      <c r="C27" s="287" t="s">
        <v>205</v>
      </c>
      <c r="D27" s="607">
        <f>SUM(D28:D30)</f>
        <v>89.88</v>
      </c>
      <c r="E27" s="607">
        <f t="shared" ref="E27:J27" si="7">SUM(E28:E30)</f>
        <v>89.42</v>
      </c>
      <c r="F27" s="607">
        <f t="shared" si="7"/>
        <v>-0.45999999999999375</v>
      </c>
      <c r="G27" s="607">
        <f t="shared" si="7"/>
        <v>0</v>
      </c>
      <c r="H27" s="607">
        <f t="shared" si="7"/>
        <v>0</v>
      </c>
      <c r="I27" s="607">
        <f t="shared" si="7"/>
        <v>0</v>
      </c>
      <c r="J27" s="607">
        <f t="shared" si="7"/>
        <v>89.42</v>
      </c>
      <c r="L27" s="277"/>
      <c r="M27" s="277"/>
      <c r="N27" s="277"/>
    </row>
    <row r="28" spans="2:14" s="9" customFormat="1" ht="16">
      <c r="B28" s="288" t="s">
        <v>46</v>
      </c>
      <c r="C28" s="289" t="s">
        <v>511</v>
      </c>
      <c r="D28" s="606">
        <f>'F11'!D14</f>
        <v>89.88</v>
      </c>
      <c r="E28" s="606">
        <f>'F11'!E10</f>
        <v>89.42</v>
      </c>
      <c r="F28" s="606">
        <f t="shared" ref="F28" si="8">E28-D28</f>
        <v>-0.45999999999999375</v>
      </c>
      <c r="G28" s="280"/>
      <c r="H28" s="280"/>
      <c r="I28" s="280"/>
      <c r="J28" s="606">
        <f t="shared" ref="J28" si="9">E28</f>
        <v>89.42</v>
      </c>
      <c r="K28" s="277"/>
      <c r="L28" s="277"/>
      <c r="M28" s="277"/>
      <c r="N28" s="277"/>
    </row>
    <row r="29" spans="2:14" s="9" customFormat="1" ht="16">
      <c r="B29" s="288" t="s">
        <v>47</v>
      </c>
      <c r="C29" s="289" t="s">
        <v>206</v>
      </c>
      <c r="D29" s="280"/>
      <c r="E29" s="280"/>
      <c r="F29" s="280"/>
      <c r="G29" s="280"/>
      <c r="H29" s="280"/>
      <c r="I29" s="280"/>
      <c r="J29" s="280"/>
      <c r="K29" s="277"/>
      <c r="L29" s="277"/>
      <c r="M29" s="277"/>
      <c r="N29" s="277"/>
    </row>
    <row r="30" spans="2:14" s="9" customFormat="1" ht="16">
      <c r="B30" s="288" t="s">
        <v>92</v>
      </c>
      <c r="C30" s="289" t="s">
        <v>207</v>
      </c>
      <c r="D30" s="280"/>
      <c r="E30" s="280"/>
      <c r="F30" s="280"/>
      <c r="G30" s="280"/>
      <c r="H30" s="280"/>
      <c r="I30" s="280"/>
      <c r="J30" s="280"/>
      <c r="K30" s="277"/>
      <c r="L30" s="277"/>
      <c r="M30" s="277"/>
      <c r="N30" s="277"/>
    </row>
    <row r="31" spans="2:14" s="9" customFormat="1">
      <c r="B31" s="288"/>
      <c r="C31" s="289"/>
      <c r="D31" s="280"/>
      <c r="E31" s="280"/>
      <c r="F31" s="280"/>
      <c r="G31" s="280"/>
      <c r="H31" s="280"/>
      <c r="I31" s="280"/>
      <c r="J31" s="280"/>
      <c r="K31" s="277"/>
      <c r="L31" s="277"/>
      <c r="M31" s="277"/>
      <c r="N31" s="277"/>
    </row>
    <row r="32" spans="2:14" s="9" customFormat="1">
      <c r="B32" s="288"/>
      <c r="C32" s="289"/>
      <c r="D32" s="280"/>
      <c r="E32" s="280"/>
      <c r="F32" s="280"/>
      <c r="G32" s="280"/>
      <c r="H32" s="280"/>
      <c r="I32" s="280"/>
      <c r="J32" s="280"/>
      <c r="K32" s="277"/>
      <c r="L32" s="277"/>
      <c r="M32" s="277"/>
      <c r="N32" s="277"/>
    </row>
    <row r="33" spans="2:14" s="9" customFormat="1" ht="16">
      <c r="B33" s="286">
        <f>B27+1</f>
        <v>17</v>
      </c>
      <c r="C33" s="287" t="s">
        <v>208</v>
      </c>
      <c r="D33" s="607">
        <f>D25-D27</f>
        <v>-1.9490815000000197</v>
      </c>
      <c r="E33" s="607">
        <f t="shared" ref="E33:J33" ca="1" si="10">E25-E27</f>
        <v>17.789058364653968</v>
      </c>
      <c r="F33" s="607">
        <f t="shared" ca="1" si="10"/>
        <v>2.9130782340519836</v>
      </c>
      <c r="G33" s="607">
        <f t="shared" si="10"/>
        <v>0</v>
      </c>
      <c r="H33" s="607">
        <f t="shared" si="10"/>
        <v>-1.4489437801893212</v>
      </c>
      <c r="I33" s="607">
        <f t="shared" si="10"/>
        <v>0</v>
      </c>
      <c r="J33" s="607">
        <f t="shared" ca="1" si="10"/>
        <v>16.726913004194401</v>
      </c>
      <c r="K33" s="277"/>
      <c r="L33" s="277"/>
      <c r="M33" s="277"/>
      <c r="N33" s="277"/>
    </row>
    <row r="34" spans="2:14" s="9" customFormat="1">
      <c r="B34" s="592"/>
      <c r="C34" s="592"/>
      <c r="D34" s="592"/>
      <c r="E34" s="592"/>
      <c r="F34" s="592"/>
      <c r="G34" s="592"/>
      <c r="H34" s="592"/>
      <c r="I34" s="592"/>
      <c r="J34" s="277"/>
      <c r="K34" s="277"/>
      <c r="L34" s="277"/>
      <c r="M34" s="277"/>
      <c r="N34" s="277"/>
    </row>
    <row r="35" spans="2:14" s="9" customFormat="1">
      <c r="B35" s="592"/>
      <c r="C35" s="592"/>
      <c r="D35" s="592"/>
      <c r="E35" s="592"/>
      <c r="F35" s="592"/>
      <c r="G35" s="592"/>
      <c r="H35" s="592"/>
      <c r="I35" s="592"/>
      <c r="J35" s="277"/>
      <c r="K35" s="277"/>
      <c r="L35" s="277"/>
      <c r="M35" s="277"/>
      <c r="N35" s="277"/>
    </row>
    <row r="36" spans="2:14">
      <c r="B36" s="10" t="s">
        <v>214</v>
      </c>
      <c r="C36" s="274"/>
      <c r="D36" s="274"/>
      <c r="E36" s="274"/>
      <c r="F36" s="274"/>
      <c r="G36" s="274"/>
      <c r="H36" s="274"/>
      <c r="I36" s="274"/>
      <c r="J36" s="274"/>
      <c r="K36" s="274"/>
      <c r="L36" s="274"/>
      <c r="M36" s="274"/>
      <c r="N36" s="274"/>
    </row>
    <row r="37" spans="2:14">
      <c r="B37" s="10"/>
      <c r="C37" s="274"/>
      <c r="D37" s="274"/>
      <c r="E37" s="274"/>
      <c r="F37" s="274"/>
      <c r="G37" s="274"/>
      <c r="H37" s="274"/>
      <c r="I37" s="274"/>
      <c r="J37" s="274"/>
      <c r="K37" s="274"/>
      <c r="L37" s="274"/>
      <c r="M37" s="274"/>
      <c r="N37" s="274"/>
    </row>
    <row r="38" spans="2:14">
      <c r="I38" s="278" t="s">
        <v>33</v>
      </c>
    </row>
    <row r="39" spans="2:14" ht="48">
      <c r="B39" s="314" t="s">
        <v>226</v>
      </c>
      <c r="C39" s="313" t="s">
        <v>4</v>
      </c>
      <c r="D39" s="314" t="s">
        <v>313</v>
      </c>
      <c r="E39" s="314" t="s">
        <v>26</v>
      </c>
      <c r="F39" s="314" t="s">
        <v>201</v>
      </c>
      <c r="G39" s="314" t="s">
        <v>202</v>
      </c>
      <c r="H39" s="314" t="s">
        <v>203</v>
      </c>
      <c r="I39" s="314" t="s">
        <v>204</v>
      </c>
      <c r="J39" s="314" t="s">
        <v>525</v>
      </c>
    </row>
    <row r="40" spans="2:14">
      <c r="B40" s="279"/>
      <c r="C40" s="280"/>
      <c r="D40" s="280"/>
      <c r="E40" s="280"/>
      <c r="F40" s="280"/>
      <c r="G40" s="280"/>
      <c r="H40" s="280"/>
      <c r="I40" s="280"/>
      <c r="J40" s="280"/>
    </row>
    <row r="41" spans="2:14">
      <c r="B41" s="281">
        <v>1</v>
      </c>
      <c r="C41" s="282" t="s">
        <v>34</v>
      </c>
      <c r="D41" s="606">
        <f>'F1 '!H9</f>
        <v>4.7872000000000003</v>
      </c>
      <c r="E41" s="606">
        <f>'F1 '!I9</f>
        <v>3.9119548000000002</v>
      </c>
      <c r="F41" s="606">
        <f t="shared" ref="F41:F53" si="11">E41-D41</f>
        <v>-0.87524520000000017</v>
      </c>
      <c r="G41" s="280"/>
      <c r="H41" s="606">
        <f>-F41</f>
        <v>0.87524520000000017</v>
      </c>
      <c r="I41" s="280"/>
      <c r="J41" s="606">
        <f>E41+H41*1/3</f>
        <v>4.2037032000000005</v>
      </c>
      <c r="K41" s="764"/>
    </row>
    <row r="42" spans="2:14">
      <c r="B42" s="281">
        <f>B41+1</f>
        <v>2</v>
      </c>
      <c r="C42" s="280" t="s">
        <v>184</v>
      </c>
      <c r="D42" s="606">
        <f>'F1 '!H10</f>
        <v>29.12</v>
      </c>
      <c r="E42" s="606">
        <f>'F1 '!I10</f>
        <v>29.10848367089001</v>
      </c>
      <c r="F42" s="606">
        <f t="shared" si="11"/>
        <v>-1.1516329109991119E-2</v>
      </c>
      <c r="G42" s="280"/>
      <c r="H42" s="280"/>
      <c r="I42" s="280"/>
      <c r="J42" s="606">
        <f>E42</f>
        <v>29.10848367089001</v>
      </c>
    </row>
    <row r="43" spans="2:14">
      <c r="B43" s="281">
        <f t="shared" ref="B43:B60" si="12">B42+1</f>
        <v>3</v>
      </c>
      <c r="C43" s="282" t="s">
        <v>35</v>
      </c>
      <c r="D43" s="606">
        <f>'F1 '!H11</f>
        <v>19.407425</v>
      </c>
      <c r="E43" s="606">
        <f>'F1 '!I11</f>
        <v>19.744393784069153</v>
      </c>
      <c r="F43" s="606">
        <f t="shared" si="11"/>
        <v>0.33696878406915332</v>
      </c>
      <c r="G43" s="280"/>
      <c r="H43" s="280"/>
      <c r="I43" s="280"/>
      <c r="J43" s="606">
        <f t="shared" ref="J43:J59" si="13">E43</f>
        <v>19.744393784069153</v>
      </c>
    </row>
    <row r="44" spans="2:14" ht="16">
      <c r="B44" s="281">
        <f t="shared" si="12"/>
        <v>4</v>
      </c>
      <c r="C44" s="283" t="s">
        <v>509</v>
      </c>
      <c r="D44" s="606">
        <f>'F1 '!H12</f>
        <v>1.3664700000000001</v>
      </c>
      <c r="E44" s="606">
        <f>'F1 '!I12</f>
        <v>1.5247298533533395</v>
      </c>
      <c r="F44" s="606">
        <f t="shared" si="11"/>
        <v>0.15825985335333947</v>
      </c>
      <c r="G44" s="280"/>
      <c r="H44" s="606">
        <f>-E44</f>
        <v>-1.5247298533533395</v>
      </c>
      <c r="I44" s="280"/>
      <c r="J44" s="606">
        <f>E44+H44*2/3</f>
        <v>0.50824328445111311</v>
      </c>
      <c r="K44" s="764"/>
    </row>
    <row r="45" spans="2:14">
      <c r="B45" s="281">
        <f t="shared" si="12"/>
        <v>5</v>
      </c>
      <c r="C45" s="282" t="s">
        <v>0</v>
      </c>
      <c r="D45" s="606">
        <f>'F1 '!H13</f>
        <v>5.59</v>
      </c>
      <c r="E45" s="606">
        <f ca="1">'F1 '!I13</f>
        <v>6.0341719574877875</v>
      </c>
      <c r="F45" s="606">
        <f t="shared" ca="1" si="11"/>
        <v>0.44417195748778759</v>
      </c>
      <c r="G45" s="280"/>
      <c r="H45" s="280"/>
      <c r="I45" s="280"/>
      <c r="J45" s="606">
        <f t="shared" ca="1" si="13"/>
        <v>6.0341719574877875</v>
      </c>
    </row>
    <row r="46" spans="2:14" ht="16">
      <c r="B46" s="281">
        <f t="shared" si="12"/>
        <v>6</v>
      </c>
      <c r="C46" s="283" t="s">
        <v>260</v>
      </c>
      <c r="D46" s="606">
        <f>'F1 '!H14</f>
        <v>1.38</v>
      </c>
      <c r="E46" s="606">
        <f>'F1 '!I14</f>
        <v>1.3779631247500002</v>
      </c>
      <c r="F46" s="606">
        <f t="shared" si="11"/>
        <v>-2.0368752499997367E-3</v>
      </c>
      <c r="G46" s="280"/>
      <c r="H46" s="280"/>
      <c r="I46" s="280"/>
      <c r="J46" s="606">
        <f t="shared" si="13"/>
        <v>1.3779631247500002</v>
      </c>
    </row>
    <row r="47" spans="2:14">
      <c r="B47" s="281">
        <f t="shared" si="12"/>
        <v>7</v>
      </c>
      <c r="C47" s="284" t="s">
        <v>36</v>
      </c>
      <c r="D47" s="607">
        <f>SUM(D41:D46)</f>
        <v>61.651095000000005</v>
      </c>
      <c r="E47" s="607">
        <f t="shared" ref="E47:J47" ca="1" si="14">SUM(E41:E46)</f>
        <v>61.701697190550298</v>
      </c>
      <c r="F47" s="607">
        <f t="shared" ca="1" si="14"/>
        <v>5.0602190550289361E-2</v>
      </c>
      <c r="G47" s="607">
        <f t="shared" si="14"/>
        <v>0</v>
      </c>
      <c r="H47" s="607">
        <f t="shared" si="14"/>
        <v>-0.64948465335333938</v>
      </c>
      <c r="I47" s="607">
        <f t="shared" si="14"/>
        <v>0</v>
      </c>
      <c r="J47" s="607">
        <f t="shared" ca="1" si="14"/>
        <v>60.976959021648064</v>
      </c>
    </row>
    <row r="48" spans="2:14">
      <c r="B48" s="281">
        <f t="shared" si="12"/>
        <v>8</v>
      </c>
      <c r="C48" s="282" t="s">
        <v>91</v>
      </c>
      <c r="D48" s="606">
        <f>'F1 '!H16</f>
        <v>21.45665</v>
      </c>
      <c r="E48" s="606">
        <f>'F1 '!I16</f>
        <v>21.455226453650003</v>
      </c>
      <c r="F48" s="606">
        <f t="shared" si="11"/>
        <v>-1.4235463499971956E-3</v>
      </c>
      <c r="G48" s="280"/>
      <c r="H48" s="280"/>
      <c r="I48" s="280"/>
      <c r="J48" s="606">
        <f t="shared" si="13"/>
        <v>21.455226453650003</v>
      </c>
    </row>
    <row r="49" spans="2:11">
      <c r="B49" s="281">
        <f t="shared" si="12"/>
        <v>9</v>
      </c>
      <c r="C49" s="284" t="s">
        <v>32</v>
      </c>
      <c r="D49" s="607">
        <f>D47+D48</f>
        <v>83.107745000000008</v>
      </c>
      <c r="E49" s="607">
        <f t="shared" ref="E49:J49" ca="1" si="15">E47+E48</f>
        <v>83.156923644200305</v>
      </c>
      <c r="F49" s="607">
        <f t="shared" ca="1" si="15"/>
        <v>4.9178644200292165E-2</v>
      </c>
      <c r="G49" s="607">
        <f t="shared" si="15"/>
        <v>0</v>
      </c>
      <c r="H49" s="607">
        <f t="shared" si="15"/>
        <v>-0.64948465335333938</v>
      </c>
      <c r="I49" s="607">
        <f t="shared" si="15"/>
        <v>0</v>
      </c>
      <c r="J49" s="607">
        <f t="shared" ca="1" si="15"/>
        <v>82.43218547529807</v>
      </c>
    </row>
    <row r="50" spans="2:11">
      <c r="B50" s="281">
        <f t="shared" si="12"/>
        <v>10</v>
      </c>
      <c r="C50" s="282" t="s">
        <v>29</v>
      </c>
      <c r="D50" s="606">
        <f>'F1 '!H18</f>
        <v>0.79</v>
      </c>
      <c r="E50" s="606">
        <f>'F1 '!I18</f>
        <v>0.7973318869799999</v>
      </c>
      <c r="F50" s="606">
        <f t="shared" si="11"/>
        <v>7.3318869799998687E-3</v>
      </c>
      <c r="G50" s="280"/>
      <c r="H50" s="280"/>
      <c r="I50" s="280"/>
      <c r="J50" s="606">
        <f t="shared" si="13"/>
        <v>0.7973318869799999</v>
      </c>
    </row>
    <row r="51" spans="2:11">
      <c r="B51" s="281">
        <f t="shared" si="12"/>
        <v>11</v>
      </c>
      <c r="C51" s="282" t="s">
        <v>30</v>
      </c>
      <c r="D51" s="588">
        <v>0</v>
      </c>
      <c r="E51" s="280"/>
      <c r="F51" s="606">
        <f t="shared" si="11"/>
        <v>0</v>
      </c>
      <c r="G51" s="280"/>
      <c r="H51" s="280"/>
      <c r="I51" s="280"/>
      <c r="J51" s="606">
        <f t="shared" si="13"/>
        <v>0</v>
      </c>
    </row>
    <row r="52" spans="2:11">
      <c r="B52" s="281">
        <f t="shared" si="12"/>
        <v>12</v>
      </c>
      <c r="C52" s="282" t="s">
        <v>756</v>
      </c>
      <c r="D52" s="588">
        <v>0</v>
      </c>
      <c r="E52" s="606">
        <f ca="1">'F1 '!I21</f>
        <v>1.4065636131886705</v>
      </c>
      <c r="F52" s="606">
        <f t="shared" ca="1" si="11"/>
        <v>1.4065636131886705</v>
      </c>
      <c r="G52" s="280"/>
      <c r="H52" s="280"/>
      <c r="I52" s="280"/>
      <c r="J52" s="606">
        <f t="shared" ca="1" si="13"/>
        <v>1.4065636131886705</v>
      </c>
    </row>
    <row r="53" spans="2:11" ht="34">
      <c r="B53" s="281">
        <f t="shared" si="12"/>
        <v>13</v>
      </c>
      <c r="C53" s="763" t="s">
        <v>845</v>
      </c>
      <c r="D53" s="280"/>
      <c r="E53" s="606">
        <f>'F1 '!I23</f>
        <v>0.9060051496994781</v>
      </c>
      <c r="F53" s="606">
        <f t="shared" si="11"/>
        <v>0.9060051496994781</v>
      </c>
      <c r="G53" s="280"/>
      <c r="H53" s="280"/>
      <c r="I53" s="280"/>
      <c r="J53" s="606">
        <f t="shared" si="13"/>
        <v>0.9060051496994781</v>
      </c>
    </row>
    <row r="54" spans="2:11" ht="16">
      <c r="B54" s="281">
        <f t="shared" si="12"/>
        <v>14</v>
      </c>
      <c r="C54" s="285" t="s">
        <v>763</v>
      </c>
      <c r="D54" s="607">
        <f>D49-D50-D51+D52+D53</f>
        <v>82.317745000000002</v>
      </c>
      <c r="E54" s="607">
        <f ca="1">E49-E50-E51+E52+E53</f>
        <v>84.672160520108449</v>
      </c>
      <c r="F54" s="607">
        <f t="shared" ref="F54:J54" ca="1" si="16">F49-F50-F51+F52+F53</f>
        <v>2.3544155201084411</v>
      </c>
      <c r="G54" s="607">
        <f t="shared" si="16"/>
        <v>0</v>
      </c>
      <c r="H54" s="607">
        <f t="shared" si="16"/>
        <v>-0.64948465335333938</v>
      </c>
      <c r="I54" s="607">
        <f t="shared" si="16"/>
        <v>0</v>
      </c>
      <c r="J54" s="607">
        <f t="shared" ca="1" si="16"/>
        <v>83.947422351206214</v>
      </c>
    </row>
    <row r="55" spans="2:11" ht="17">
      <c r="B55" s="281">
        <f t="shared" si="12"/>
        <v>15</v>
      </c>
      <c r="C55" s="625" t="s">
        <v>759</v>
      </c>
      <c r="D55" s="606">
        <v>-3.45</v>
      </c>
      <c r="E55" s="606">
        <f>'F1 '!I26</f>
        <v>-3.45</v>
      </c>
      <c r="F55" s="606">
        <f t="shared" ref="F55:F58" si="17">E55-D55</f>
        <v>0</v>
      </c>
      <c r="G55" s="607"/>
      <c r="H55" s="607"/>
      <c r="I55" s="607"/>
      <c r="J55" s="606">
        <f t="shared" si="13"/>
        <v>-3.45</v>
      </c>
    </row>
    <row r="56" spans="2:11" ht="17">
      <c r="B56" s="281">
        <f t="shared" si="12"/>
        <v>16</v>
      </c>
      <c r="C56" s="625" t="s">
        <v>760</v>
      </c>
      <c r="D56" s="606">
        <v>-5.28</v>
      </c>
      <c r="E56" s="606">
        <f>'F1 '!I27</f>
        <v>-5.28</v>
      </c>
      <c r="F56" s="606">
        <f t="shared" si="17"/>
        <v>0</v>
      </c>
      <c r="G56" s="607"/>
      <c r="H56" s="607"/>
      <c r="I56" s="607"/>
      <c r="J56" s="606">
        <f t="shared" si="13"/>
        <v>-5.28</v>
      </c>
    </row>
    <row r="57" spans="2:11" ht="17">
      <c r="B57" s="281">
        <f t="shared" si="12"/>
        <v>17</v>
      </c>
      <c r="C57" s="625" t="s">
        <v>761</v>
      </c>
      <c r="D57" s="606">
        <v>-1.95</v>
      </c>
      <c r="E57" s="606">
        <f>'F1 '!I28</f>
        <v>0</v>
      </c>
      <c r="F57" s="606">
        <f t="shared" si="17"/>
        <v>1.95</v>
      </c>
      <c r="G57" s="607"/>
      <c r="H57" s="607"/>
      <c r="I57" s="607"/>
      <c r="J57" s="606">
        <f t="shared" si="13"/>
        <v>0</v>
      </c>
    </row>
    <row r="58" spans="2:11" ht="34">
      <c r="B58" s="281">
        <f t="shared" si="12"/>
        <v>18</v>
      </c>
      <c r="C58" s="625" t="s">
        <v>762</v>
      </c>
      <c r="D58" s="606">
        <v>-3.22</v>
      </c>
      <c r="E58" s="606">
        <f>'F1 '!I29</f>
        <v>-3.22</v>
      </c>
      <c r="F58" s="606">
        <f t="shared" si="17"/>
        <v>0</v>
      </c>
      <c r="G58" s="607"/>
      <c r="H58" s="607"/>
      <c r="I58" s="607"/>
      <c r="J58" s="606">
        <f t="shared" si="13"/>
        <v>-3.22</v>
      </c>
    </row>
    <row r="59" spans="2:11" ht="16">
      <c r="B59" s="281">
        <f t="shared" si="12"/>
        <v>19</v>
      </c>
      <c r="C59" s="558" t="s">
        <v>859</v>
      </c>
      <c r="D59" s="606"/>
      <c r="E59" s="606">
        <f>'F1 '!I30</f>
        <v>0.74</v>
      </c>
      <c r="F59" s="606"/>
      <c r="G59" s="607"/>
      <c r="H59" s="607"/>
      <c r="I59" s="607"/>
      <c r="J59" s="606">
        <f t="shared" si="13"/>
        <v>0.74</v>
      </c>
    </row>
    <row r="60" spans="2:11" ht="34">
      <c r="B60" s="281">
        <f t="shared" si="12"/>
        <v>20</v>
      </c>
      <c r="C60" s="782" t="s">
        <v>764</v>
      </c>
      <c r="D60" s="607">
        <f t="shared" ref="D60:J60" si="18">SUM(D54:D59)</f>
        <v>68.417744999999996</v>
      </c>
      <c r="E60" s="607">
        <f t="shared" ca="1" si="18"/>
        <v>73.462160520108441</v>
      </c>
      <c r="F60" s="607">
        <f t="shared" ca="1" si="18"/>
        <v>4.3044155201084413</v>
      </c>
      <c r="G60" s="607">
        <f t="shared" si="18"/>
        <v>0</v>
      </c>
      <c r="H60" s="607">
        <f t="shared" si="18"/>
        <v>-0.64948465335333938</v>
      </c>
      <c r="I60" s="607">
        <f t="shared" si="18"/>
        <v>0</v>
      </c>
      <c r="J60" s="607">
        <f t="shared" ca="1" si="18"/>
        <v>72.737422351206206</v>
      </c>
      <c r="K60" s="764">
        <f ca="1">'F1 '!I35-J60</f>
        <v>0</v>
      </c>
    </row>
    <row r="61" spans="2:11">
      <c r="B61" s="281"/>
      <c r="C61" s="284"/>
      <c r="D61" s="280"/>
      <c r="E61" s="280"/>
      <c r="F61" s="280"/>
      <c r="G61" s="280"/>
      <c r="H61" s="280"/>
      <c r="I61" s="280"/>
      <c r="J61" s="280"/>
    </row>
    <row r="62" spans="2:11" ht="16">
      <c r="B62" s="281">
        <f>B60+1</f>
        <v>21</v>
      </c>
      <c r="C62" s="287" t="s">
        <v>205</v>
      </c>
      <c r="D62" s="590">
        <f>SUM(D63:D65)</f>
        <v>68.42</v>
      </c>
      <c r="E62" s="590">
        <f t="shared" ref="E62:J62" si="19">SUM(E63:E65)</f>
        <v>76.057695700000011</v>
      </c>
      <c r="F62" s="590">
        <f t="shared" si="19"/>
        <v>0</v>
      </c>
      <c r="G62" s="590">
        <f t="shared" si="19"/>
        <v>0</v>
      </c>
      <c r="H62" s="590">
        <f t="shared" si="19"/>
        <v>0</v>
      </c>
      <c r="I62" s="590">
        <f t="shared" si="19"/>
        <v>0</v>
      </c>
      <c r="J62" s="590">
        <f t="shared" si="19"/>
        <v>76.057695700000011</v>
      </c>
    </row>
    <row r="63" spans="2:11" ht="16">
      <c r="B63" s="288" t="s">
        <v>46</v>
      </c>
      <c r="C63" s="289" t="s">
        <v>511</v>
      </c>
      <c r="D63" s="606">
        <f>'F11'!G10</f>
        <v>68.42</v>
      </c>
      <c r="E63" s="606">
        <f>'F11'!H14</f>
        <v>76.057695700000011</v>
      </c>
      <c r="F63" s="280"/>
      <c r="G63" s="280"/>
      <c r="H63" s="280"/>
      <c r="I63" s="280"/>
      <c r="J63" s="606">
        <f t="shared" ref="J63" si="20">E63</f>
        <v>76.057695700000011</v>
      </c>
    </row>
    <row r="64" spans="2:11" ht="16">
      <c r="B64" s="288" t="s">
        <v>47</v>
      </c>
      <c r="C64" s="289" t="s">
        <v>206</v>
      </c>
      <c r="D64" s="606"/>
      <c r="E64" s="280"/>
      <c r="F64" s="280"/>
      <c r="G64" s="280"/>
      <c r="H64" s="280"/>
      <c r="I64" s="280"/>
      <c r="J64" s="280"/>
    </row>
    <row r="65" spans="2:10" ht="16">
      <c r="B65" s="288" t="s">
        <v>92</v>
      </c>
      <c r="C65" s="289" t="s">
        <v>207</v>
      </c>
      <c r="D65" s="606"/>
      <c r="E65" s="280"/>
      <c r="F65" s="280"/>
      <c r="G65" s="280"/>
      <c r="H65" s="280"/>
      <c r="I65" s="280"/>
      <c r="J65" s="280"/>
    </row>
    <row r="66" spans="2:10" ht="16">
      <c r="B66" s="288" t="s">
        <v>84</v>
      </c>
      <c r="C66" s="289" t="s">
        <v>84</v>
      </c>
      <c r="D66" s="280"/>
      <c r="E66" s="280"/>
      <c r="F66" s="280"/>
      <c r="G66" s="280"/>
      <c r="H66" s="280"/>
      <c r="I66" s="280"/>
      <c r="J66" s="280"/>
    </row>
    <row r="67" spans="2:10">
      <c r="B67" s="288"/>
      <c r="C67" s="289"/>
      <c r="D67" s="280"/>
      <c r="E67" s="280"/>
      <c r="F67" s="280"/>
      <c r="G67" s="280"/>
      <c r="H67" s="280"/>
      <c r="I67" s="280"/>
      <c r="J67" s="280"/>
    </row>
    <row r="68" spans="2:10" ht="16">
      <c r="B68" s="286">
        <f>B62+1</f>
        <v>22</v>
      </c>
      <c r="C68" s="287" t="s">
        <v>208</v>
      </c>
      <c r="D68" s="590">
        <f>D60-D62</f>
        <v>-2.255000000005225E-3</v>
      </c>
      <c r="E68" s="590">
        <f t="shared" ref="E68:J68" ca="1" si="21">E60-E62</f>
        <v>-2.59553517989157</v>
      </c>
      <c r="F68" s="590">
        <f t="shared" ca="1" si="21"/>
        <v>4.3044155201084413</v>
      </c>
      <c r="G68" s="590">
        <f t="shared" si="21"/>
        <v>0</v>
      </c>
      <c r="H68" s="590">
        <f t="shared" si="21"/>
        <v>-0.64948465335333938</v>
      </c>
      <c r="I68" s="590">
        <f t="shared" si="21"/>
        <v>0</v>
      </c>
      <c r="J68" s="590">
        <f t="shared" ca="1" si="21"/>
        <v>-3.3202733487938048</v>
      </c>
    </row>
    <row r="69" spans="2:10">
      <c r="B69" s="291"/>
      <c r="C69" s="292"/>
      <c r="D69" s="293"/>
      <c r="E69" s="293"/>
      <c r="F69" s="293"/>
      <c r="G69" s="293"/>
      <c r="H69" s="293"/>
      <c r="I69" s="293"/>
    </row>
    <row r="70" spans="2:10" hidden="1">
      <c r="B70" s="294" t="s">
        <v>735</v>
      </c>
    </row>
    <row r="71" spans="2:10" hidden="1">
      <c r="B71" s="1183" t="s">
        <v>585</v>
      </c>
      <c r="C71" s="1183"/>
      <c r="D71" s="1183"/>
      <c r="E71" s="1183"/>
      <c r="F71" s="1183"/>
      <c r="G71" s="1183"/>
      <c r="H71" s="1183"/>
      <c r="I71" s="1183"/>
    </row>
  </sheetData>
  <mergeCells count="4">
    <mergeCell ref="B71:I71"/>
    <mergeCell ref="B2:J2"/>
    <mergeCell ref="B3:J3"/>
    <mergeCell ref="B4:J4"/>
  </mergeCells>
  <pageMargins left="0.43307086614173229" right="0.43307086614173229" top="0.43307086614173229" bottom="0.43307086614173229" header="0.31496062992125984" footer="0.31496062992125984"/>
  <pageSetup paperSize="9" scale="84" fitToWidth="2" fitToHeight="2" orientation="landscape" r:id="rId1"/>
  <headerFooter>
    <oddFooter>&amp;CPage. &amp;P</oddFooter>
  </headerFooter>
  <rowBreaks count="1" manualBreakCount="1">
    <brk id="35" min="1"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L15"/>
  <sheetViews>
    <sheetView showGridLines="0" view="pageBreakPreview" zoomScale="80" zoomScaleSheetLayoutView="80" workbookViewId="0">
      <selection activeCell="B5" sqref="B5"/>
    </sheetView>
  </sheetViews>
  <sheetFormatPr baseColWidth="10" defaultColWidth="9.1640625" defaultRowHeight="15"/>
  <cols>
    <col min="1" max="1" width="9.1640625" style="73"/>
    <col min="2" max="2" width="21.6640625" style="73" customWidth="1"/>
    <col min="3" max="3" width="23" style="73" customWidth="1"/>
    <col min="4" max="4" width="22.33203125" style="73" customWidth="1"/>
    <col min="5" max="5" width="21.6640625" style="73" customWidth="1"/>
    <col min="6" max="6" width="38" style="73" customWidth="1"/>
    <col min="7" max="7" width="24.5" style="73" customWidth="1"/>
    <col min="8" max="8" width="10.6640625" style="73" bestFit="1" customWidth="1"/>
    <col min="9" max="257" width="9.1640625" style="73"/>
    <col min="258" max="258" width="21.6640625" style="73" customWidth="1"/>
    <col min="259" max="259" width="27.83203125" style="73" customWidth="1"/>
    <col min="260" max="260" width="33.83203125" style="73" customWidth="1"/>
    <col min="261" max="261" width="60" style="73" customWidth="1"/>
    <col min="262" max="262" width="164.1640625" style="73" customWidth="1"/>
    <col min="263" max="263" width="24.5" style="73" customWidth="1"/>
    <col min="264" max="264" width="10.6640625" style="73" bestFit="1" customWidth="1"/>
    <col min="265" max="513" width="9.1640625" style="73"/>
    <col min="514" max="514" width="21.6640625" style="73" customWidth="1"/>
    <col min="515" max="515" width="27.83203125" style="73" customWidth="1"/>
    <col min="516" max="516" width="33.83203125" style="73" customWidth="1"/>
    <col min="517" max="517" width="60" style="73" customWidth="1"/>
    <col min="518" max="518" width="164.1640625" style="73" customWidth="1"/>
    <col min="519" max="519" width="24.5" style="73" customWidth="1"/>
    <col min="520" max="520" width="10.6640625" style="73" bestFit="1" customWidth="1"/>
    <col min="521" max="769" width="9.1640625" style="73"/>
    <col min="770" max="770" width="21.6640625" style="73" customWidth="1"/>
    <col min="771" max="771" width="27.83203125" style="73" customWidth="1"/>
    <col min="772" max="772" width="33.83203125" style="73" customWidth="1"/>
    <col min="773" max="773" width="60" style="73" customWidth="1"/>
    <col min="774" max="774" width="164.1640625" style="73" customWidth="1"/>
    <col min="775" max="775" width="24.5" style="73" customWidth="1"/>
    <col min="776" max="776" width="10.6640625" style="73" bestFit="1" customWidth="1"/>
    <col min="777" max="1025" width="9.1640625" style="73"/>
    <col min="1026" max="1026" width="21.6640625" style="73" customWidth="1"/>
    <col min="1027" max="1027" width="27.83203125" style="73" customWidth="1"/>
    <col min="1028" max="1028" width="33.83203125" style="73" customWidth="1"/>
    <col min="1029" max="1029" width="60" style="73" customWidth="1"/>
    <col min="1030" max="1030" width="164.1640625" style="73" customWidth="1"/>
    <col min="1031" max="1031" width="24.5" style="73" customWidth="1"/>
    <col min="1032" max="1032" width="10.6640625" style="73" bestFit="1" customWidth="1"/>
    <col min="1033" max="1281" width="9.1640625" style="73"/>
    <col min="1282" max="1282" width="21.6640625" style="73" customWidth="1"/>
    <col min="1283" max="1283" width="27.83203125" style="73" customWidth="1"/>
    <col min="1284" max="1284" width="33.83203125" style="73" customWidth="1"/>
    <col min="1285" max="1285" width="60" style="73" customWidth="1"/>
    <col min="1286" max="1286" width="164.1640625" style="73" customWidth="1"/>
    <col min="1287" max="1287" width="24.5" style="73" customWidth="1"/>
    <col min="1288" max="1288" width="10.6640625" style="73" bestFit="1" customWidth="1"/>
    <col min="1289" max="1537" width="9.1640625" style="73"/>
    <col min="1538" max="1538" width="21.6640625" style="73" customWidth="1"/>
    <col min="1539" max="1539" width="27.83203125" style="73" customWidth="1"/>
    <col min="1540" max="1540" width="33.83203125" style="73" customWidth="1"/>
    <col min="1541" max="1541" width="60" style="73" customWidth="1"/>
    <col min="1542" max="1542" width="164.1640625" style="73" customWidth="1"/>
    <col min="1543" max="1543" width="24.5" style="73" customWidth="1"/>
    <col min="1544" max="1544" width="10.6640625" style="73" bestFit="1" customWidth="1"/>
    <col min="1545" max="1793" width="9.1640625" style="73"/>
    <col min="1794" max="1794" width="21.6640625" style="73" customWidth="1"/>
    <col min="1795" max="1795" width="27.83203125" style="73" customWidth="1"/>
    <col min="1796" max="1796" width="33.83203125" style="73" customWidth="1"/>
    <col min="1797" max="1797" width="60" style="73" customWidth="1"/>
    <col min="1798" max="1798" width="164.1640625" style="73" customWidth="1"/>
    <col min="1799" max="1799" width="24.5" style="73" customWidth="1"/>
    <col min="1800" max="1800" width="10.6640625" style="73" bestFit="1" customWidth="1"/>
    <col min="1801" max="2049" width="9.1640625" style="73"/>
    <col min="2050" max="2050" width="21.6640625" style="73" customWidth="1"/>
    <col min="2051" max="2051" width="27.83203125" style="73" customWidth="1"/>
    <col min="2052" max="2052" width="33.83203125" style="73" customWidth="1"/>
    <col min="2053" max="2053" width="60" style="73" customWidth="1"/>
    <col min="2054" max="2054" width="164.1640625" style="73" customWidth="1"/>
    <col min="2055" max="2055" width="24.5" style="73" customWidth="1"/>
    <col min="2056" max="2056" width="10.6640625" style="73" bestFit="1" customWidth="1"/>
    <col min="2057" max="2305" width="9.1640625" style="73"/>
    <col min="2306" max="2306" width="21.6640625" style="73" customWidth="1"/>
    <col min="2307" max="2307" width="27.83203125" style="73" customWidth="1"/>
    <col min="2308" max="2308" width="33.83203125" style="73" customWidth="1"/>
    <col min="2309" max="2309" width="60" style="73" customWidth="1"/>
    <col min="2310" max="2310" width="164.1640625" style="73" customWidth="1"/>
    <col min="2311" max="2311" width="24.5" style="73" customWidth="1"/>
    <col min="2312" max="2312" width="10.6640625" style="73" bestFit="1" customWidth="1"/>
    <col min="2313" max="2561" width="9.1640625" style="73"/>
    <col min="2562" max="2562" width="21.6640625" style="73" customWidth="1"/>
    <col min="2563" max="2563" width="27.83203125" style="73" customWidth="1"/>
    <col min="2564" max="2564" width="33.83203125" style="73" customWidth="1"/>
    <col min="2565" max="2565" width="60" style="73" customWidth="1"/>
    <col min="2566" max="2566" width="164.1640625" style="73" customWidth="1"/>
    <col min="2567" max="2567" width="24.5" style="73" customWidth="1"/>
    <col min="2568" max="2568" width="10.6640625" style="73" bestFit="1" customWidth="1"/>
    <col min="2569" max="2817" width="9.1640625" style="73"/>
    <col min="2818" max="2818" width="21.6640625" style="73" customWidth="1"/>
    <col min="2819" max="2819" width="27.83203125" style="73" customWidth="1"/>
    <col min="2820" max="2820" width="33.83203125" style="73" customWidth="1"/>
    <col min="2821" max="2821" width="60" style="73" customWidth="1"/>
    <col min="2822" max="2822" width="164.1640625" style="73" customWidth="1"/>
    <col min="2823" max="2823" width="24.5" style="73" customWidth="1"/>
    <col min="2824" max="2824" width="10.6640625" style="73" bestFit="1" customWidth="1"/>
    <col min="2825" max="3073" width="9.1640625" style="73"/>
    <col min="3074" max="3074" width="21.6640625" style="73" customWidth="1"/>
    <col min="3075" max="3075" width="27.83203125" style="73" customWidth="1"/>
    <col min="3076" max="3076" width="33.83203125" style="73" customWidth="1"/>
    <col min="3077" max="3077" width="60" style="73" customWidth="1"/>
    <col min="3078" max="3078" width="164.1640625" style="73" customWidth="1"/>
    <col min="3079" max="3079" width="24.5" style="73" customWidth="1"/>
    <col min="3080" max="3080" width="10.6640625" style="73" bestFit="1" customWidth="1"/>
    <col min="3081" max="3329" width="9.1640625" style="73"/>
    <col min="3330" max="3330" width="21.6640625" style="73" customWidth="1"/>
    <col min="3331" max="3331" width="27.83203125" style="73" customWidth="1"/>
    <col min="3332" max="3332" width="33.83203125" style="73" customWidth="1"/>
    <col min="3333" max="3333" width="60" style="73" customWidth="1"/>
    <col min="3334" max="3334" width="164.1640625" style="73" customWidth="1"/>
    <col min="3335" max="3335" width="24.5" style="73" customWidth="1"/>
    <col min="3336" max="3336" width="10.6640625" style="73" bestFit="1" customWidth="1"/>
    <col min="3337" max="3585" width="9.1640625" style="73"/>
    <col min="3586" max="3586" width="21.6640625" style="73" customWidth="1"/>
    <col min="3587" max="3587" width="27.83203125" style="73" customWidth="1"/>
    <col min="3588" max="3588" width="33.83203125" style="73" customWidth="1"/>
    <col min="3589" max="3589" width="60" style="73" customWidth="1"/>
    <col min="3590" max="3590" width="164.1640625" style="73" customWidth="1"/>
    <col min="3591" max="3591" width="24.5" style="73" customWidth="1"/>
    <col min="3592" max="3592" width="10.6640625" style="73" bestFit="1" customWidth="1"/>
    <col min="3593" max="3841" width="9.1640625" style="73"/>
    <col min="3842" max="3842" width="21.6640625" style="73" customWidth="1"/>
    <col min="3843" max="3843" width="27.83203125" style="73" customWidth="1"/>
    <col min="3844" max="3844" width="33.83203125" style="73" customWidth="1"/>
    <col min="3845" max="3845" width="60" style="73" customWidth="1"/>
    <col min="3846" max="3846" width="164.1640625" style="73" customWidth="1"/>
    <col min="3847" max="3847" width="24.5" style="73" customWidth="1"/>
    <col min="3848" max="3848" width="10.6640625" style="73" bestFit="1" customWidth="1"/>
    <col min="3849" max="4097" width="9.1640625" style="73"/>
    <col min="4098" max="4098" width="21.6640625" style="73" customWidth="1"/>
    <col min="4099" max="4099" width="27.83203125" style="73" customWidth="1"/>
    <col min="4100" max="4100" width="33.83203125" style="73" customWidth="1"/>
    <col min="4101" max="4101" width="60" style="73" customWidth="1"/>
    <col min="4102" max="4102" width="164.1640625" style="73" customWidth="1"/>
    <col min="4103" max="4103" width="24.5" style="73" customWidth="1"/>
    <col min="4104" max="4104" width="10.6640625" style="73" bestFit="1" customWidth="1"/>
    <col min="4105" max="4353" width="9.1640625" style="73"/>
    <col min="4354" max="4354" width="21.6640625" style="73" customWidth="1"/>
    <col min="4355" max="4355" width="27.83203125" style="73" customWidth="1"/>
    <col min="4356" max="4356" width="33.83203125" style="73" customWidth="1"/>
    <col min="4357" max="4357" width="60" style="73" customWidth="1"/>
    <col min="4358" max="4358" width="164.1640625" style="73" customWidth="1"/>
    <col min="4359" max="4359" width="24.5" style="73" customWidth="1"/>
    <col min="4360" max="4360" width="10.6640625" style="73" bestFit="1" customWidth="1"/>
    <col min="4361" max="4609" width="9.1640625" style="73"/>
    <col min="4610" max="4610" width="21.6640625" style="73" customWidth="1"/>
    <col min="4611" max="4611" width="27.83203125" style="73" customWidth="1"/>
    <col min="4612" max="4612" width="33.83203125" style="73" customWidth="1"/>
    <col min="4613" max="4613" width="60" style="73" customWidth="1"/>
    <col min="4614" max="4614" width="164.1640625" style="73" customWidth="1"/>
    <col min="4615" max="4615" width="24.5" style="73" customWidth="1"/>
    <col min="4616" max="4616" width="10.6640625" style="73" bestFit="1" customWidth="1"/>
    <col min="4617" max="4865" width="9.1640625" style="73"/>
    <col min="4866" max="4866" width="21.6640625" style="73" customWidth="1"/>
    <col min="4867" max="4867" width="27.83203125" style="73" customWidth="1"/>
    <col min="4868" max="4868" width="33.83203125" style="73" customWidth="1"/>
    <col min="4869" max="4869" width="60" style="73" customWidth="1"/>
    <col min="4870" max="4870" width="164.1640625" style="73" customWidth="1"/>
    <col min="4871" max="4871" width="24.5" style="73" customWidth="1"/>
    <col min="4872" max="4872" width="10.6640625" style="73" bestFit="1" customWidth="1"/>
    <col min="4873" max="5121" width="9.1640625" style="73"/>
    <col min="5122" max="5122" width="21.6640625" style="73" customWidth="1"/>
    <col min="5123" max="5123" width="27.83203125" style="73" customWidth="1"/>
    <col min="5124" max="5124" width="33.83203125" style="73" customWidth="1"/>
    <col min="5125" max="5125" width="60" style="73" customWidth="1"/>
    <col min="5126" max="5126" width="164.1640625" style="73" customWidth="1"/>
    <col min="5127" max="5127" width="24.5" style="73" customWidth="1"/>
    <col min="5128" max="5128" width="10.6640625" style="73" bestFit="1" customWidth="1"/>
    <col min="5129" max="5377" width="9.1640625" style="73"/>
    <col min="5378" max="5378" width="21.6640625" style="73" customWidth="1"/>
    <col min="5379" max="5379" width="27.83203125" style="73" customWidth="1"/>
    <col min="5380" max="5380" width="33.83203125" style="73" customWidth="1"/>
    <col min="5381" max="5381" width="60" style="73" customWidth="1"/>
    <col min="5382" max="5382" width="164.1640625" style="73" customWidth="1"/>
    <col min="5383" max="5383" width="24.5" style="73" customWidth="1"/>
    <col min="5384" max="5384" width="10.6640625" style="73" bestFit="1" customWidth="1"/>
    <col min="5385" max="5633" width="9.1640625" style="73"/>
    <col min="5634" max="5634" width="21.6640625" style="73" customWidth="1"/>
    <col min="5635" max="5635" width="27.83203125" style="73" customWidth="1"/>
    <col min="5636" max="5636" width="33.83203125" style="73" customWidth="1"/>
    <col min="5637" max="5637" width="60" style="73" customWidth="1"/>
    <col min="5638" max="5638" width="164.1640625" style="73" customWidth="1"/>
    <col min="5639" max="5639" width="24.5" style="73" customWidth="1"/>
    <col min="5640" max="5640" width="10.6640625" style="73" bestFit="1" customWidth="1"/>
    <col min="5641" max="5889" width="9.1640625" style="73"/>
    <col min="5890" max="5890" width="21.6640625" style="73" customWidth="1"/>
    <col min="5891" max="5891" width="27.83203125" style="73" customWidth="1"/>
    <col min="5892" max="5892" width="33.83203125" style="73" customWidth="1"/>
    <col min="5893" max="5893" width="60" style="73" customWidth="1"/>
    <col min="5894" max="5894" width="164.1640625" style="73" customWidth="1"/>
    <col min="5895" max="5895" width="24.5" style="73" customWidth="1"/>
    <col min="5896" max="5896" width="10.6640625" style="73" bestFit="1" customWidth="1"/>
    <col min="5897" max="6145" width="9.1640625" style="73"/>
    <col min="6146" max="6146" width="21.6640625" style="73" customWidth="1"/>
    <col min="6147" max="6147" width="27.83203125" style="73" customWidth="1"/>
    <col min="6148" max="6148" width="33.83203125" style="73" customWidth="1"/>
    <col min="6149" max="6149" width="60" style="73" customWidth="1"/>
    <col min="6150" max="6150" width="164.1640625" style="73" customWidth="1"/>
    <col min="6151" max="6151" width="24.5" style="73" customWidth="1"/>
    <col min="6152" max="6152" width="10.6640625" style="73" bestFit="1" customWidth="1"/>
    <col min="6153" max="6401" width="9.1640625" style="73"/>
    <col min="6402" max="6402" width="21.6640625" style="73" customWidth="1"/>
    <col min="6403" max="6403" width="27.83203125" style="73" customWidth="1"/>
    <col min="6404" max="6404" width="33.83203125" style="73" customWidth="1"/>
    <col min="6405" max="6405" width="60" style="73" customWidth="1"/>
    <col min="6406" max="6406" width="164.1640625" style="73" customWidth="1"/>
    <col min="6407" max="6407" width="24.5" style="73" customWidth="1"/>
    <col min="6408" max="6408" width="10.6640625" style="73" bestFit="1" customWidth="1"/>
    <col min="6409" max="6657" width="9.1640625" style="73"/>
    <col min="6658" max="6658" width="21.6640625" style="73" customWidth="1"/>
    <col min="6659" max="6659" width="27.83203125" style="73" customWidth="1"/>
    <col min="6660" max="6660" width="33.83203125" style="73" customWidth="1"/>
    <col min="6661" max="6661" width="60" style="73" customWidth="1"/>
    <col min="6662" max="6662" width="164.1640625" style="73" customWidth="1"/>
    <col min="6663" max="6663" width="24.5" style="73" customWidth="1"/>
    <col min="6664" max="6664" width="10.6640625" style="73" bestFit="1" customWidth="1"/>
    <col min="6665" max="6913" width="9.1640625" style="73"/>
    <col min="6914" max="6914" width="21.6640625" style="73" customWidth="1"/>
    <col min="6915" max="6915" width="27.83203125" style="73" customWidth="1"/>
    <col min="6916" max="6916" width="33.83203125" style="73" customWidth="1"/>
    <col min="6917" max="6917" width="60" style="73" customWidth="1"/>
    <col min="6918" max="6918" width="164.1640625" style="73" customWidth="1"/>
    <col min="6919" max="6919" width="24.5" style="73" customWidth="1"/>
    <col min="6920" max="6920" width="10.6640625" style="73" bestFit="1" customWidth="1"/>
    <col min="6921" max="7169" width="9.1640625" style="73"/>
    <col min="7170" max="7170" width="21.6640625" style="73" customWidth="1"/>
    <col min="7171" max="7171" width="27.83203125" style="73" customWidth="1"/>
    <col min="7172" max="7172" width="33.83203125" style="73" customWidth="1"/>
    <col min="7173" max="7173" width="60" style="73" customWidth="1"/>
    <col min="7174" max="7174" width="164.1640625" style="73" customWidth="1"/>
    <col min="7175" max="7175" width="24.5" style="73" customWidth="1"/>
    <col min="7176" max="7176" width="10.6640625" style="73" bestFit="1" customWidth="1"/>
    <col min="7177" max="7425" width="9.1640625" style="73"/>
    <col min="7426" max="7426" width="21.6640625" style="73" customWidth="1"/>
    <col min="7427" max="7427" width="27.83203125" style="73" customWidth="1"/>
    <col min="7428" max="7428" width="33.83203125" style="73" customWidth="1"/>
    <col min="7429" max="7429" width="60" style="73" customWidth="1"/>
    <col min="7430" max="7430" width="164.1640625" style="73" customWidth="1"/>
    <col min="7431" max="7431" width="24.5" style="73" customWidth="1"/>
    <col min="7432" max="7432" width="10.6640625" style="73" bestFit="1" customWidth="1"/>
    <col min="7433" max="7681" width="9.1640625" style="73"/>
    <col min="7682" max="7682" width="21.6640625" style="73" customWidth="1"/>
    <col min="7683" max="7683" width="27.83203125" style="73" customWidth="1"/>
    <col min="7684" max="7684" width="33.83203125" style="73" customWidth="1"/>
    <col min="7685" max="7685" width="60" style="73" customWidth="1"/>
    <col min="7686" max="7686" width="164.1640625" style="73" customWidth="1"/>
    <col min="7687" max="7687" width="24.5" style="73" customWidth="1"/>
    <col min="7688" max="7688" width="10.6640625" style="73" bestFit="1" customWidth="1"/>
    <col min="7689" max="7937" width="9.1640625" style="73"/>
    <col min="7938" max="7938" width="21.6640625" style="73" customWidth="1"/>
    <col min="7939" max="7939" width="27.83203125" style="73" customWidth="1"/>
    <col min="7940" max="7940" width="33.83203125" style="73" customWidth="1"/>
    <col min="7941" max="7941" width="60" style="73" customWidth="1"/>
    <col min="7942" max="7942" width="164.1640625" style="73" customWidth="1"/>
    <col min="7943" max="7943" width="24.5" style="73" customWidth="1"/>
    <col min="7944" max="7944" width="10.6640625" style="73" bestFit="1" customWidth="1"/>
    <col min="7945" max="8193" width="9.1640625" style="73"/>
    <col min="8194" max="8194" width="21.6640625" style="73" customWidth="1"/>
    <col min="8195" max="8195" width="27.83203125" style="73" customWidth="1"/>
    <col min="8196" max="8196" width="33.83203125" style="73" customWidth="1"/>
    <col min="8197" max="8197" width="60" style="73" customWidth="1"/>
    <col min="8198" max="8198" width="164.1640625" style="73" customWidth="1"/>
    <col min="8199" max="8199" width="24.5" style="73" customWidth="1"/>
    <col min="8200" max="8200" width="10.6640625" style="73" bestFit="1" customWidth="1"/>
    <col min="8201" max="8449" width="9.1640625" style="73"/>
    <col min="8450" max="8450" width="21.6640625" style="73" customWidth="1"/>
    <col min="8451" max="8451" width="27.83203125" style="73" customWidth="1"/>
    <col min="8452" max="8452" width="33.83203125" style="73" customWidth="1"/>
    <col min="8453" max="8453" width="60" style="73" customWidth="1"/>
    <col min="8454" max="8454" width="164.1640625" style="73" customWidth="1"/>
    <col min="8455" max="8455" width="24.5" style="73" customWidth="1"/>
    <col min="8456" max="8456" width="10.6640625" style="73" bestFit="1" customWidth="1"/>
    <col min="8457" max="8705" width="9.1640625" style="73"/>
    <col min="8706" max="8706" width="21.6640625" style="73" customWidth="1"/>
    <col min="8707" max="8707" width="27.83203125" style="73" customWidth="1"/>
    <col min="8708" max="8708" width="33.83203125" style="73" customWidth="1"/>
    <col min="8709" max="8709" width="60" style="73" customWidth="1"/>
    <col min="8710" max="8710" width="164.1640625" style="73" customWidth="1"/>
    <col min="8711" max="8711" width="24.5" style="73" customWidth="1"/>
    <col min="8712" max="8712" width="10.6640625" style="73" bestFit="1" customWidth="1"/>
    <col min="8713" max="8961" width="9.1640625" style="73"/>
    <col min="8962" max="8962" width="21.6640625" style="73" customWidth="1"/>
    <col min="8963" max="8963" width="27.83203125" style="73" customWidth="1"/>
    <col min="8964" max="8964" width="33.83203125" style="73" customWidth="1"/>
    <col min="8965" max="8965" width="60" style="73" customWidth="1"/>
    <col min="8966" max="8966" width="164.1640625" style="73" customWidth="1"/>
    <col min="8967" max="8967" width="24.5" style="73" customWidth="1"/>
    <col min="8968" max="8968" width="10.6640625" style="73" bestFit="1" customWidth="1"/>
    <col min="8969" max="9217" width="9.1640625" style="73"/>
    <col min="9218" max="9218" width="21.6640625" style="73" customWidth="1"/>
    <col min="9219" max="9219" width="27.83203125" style="73" customWidth="1"/>
    <col min="9220" max="9220" width="33.83203125" style="73" customWidth="1"/>
    <col min="9221" max="9221" width="60" style="73" customWidth="1"/>
    <col min="9222" max="9222" width="164.1640625" style="73" customWidth="1"/>
    <col min="9223" max="9223" width="24.5" style="73" customWidth="1"/>
    <col min="9224" max="9224" width="10.6640625" style="73" bestFit="1" customWidth="1"/>
    <col min="9225" max="9473" width="9.1640625" style="73"/>
    <col min="9474" max="9474" width="21.6640625" style="73" customWidth="1"/>
    <col min="9475" max="9475" width="27.83203125" style="73" customWidth="1"/>
    <col min="9476" max="9476" width="33.83203125" style="73" customWidth="1"/>
    <col min="9477" max="9477" width="60" style="73" customWidth="1"/>
    <col min="9478" max="9478" width="164.1640625" style="73" customWidth="1"/>
    <col min="9479" max="9479" width="24.5" style="73" customWidth="1"/>
    <col min="9480" max="9480" width="10.6640625" style="73" bestFit="1" customWidth="1"/>
    <col min="9481" max="9729" width="9.1640625" style="73"/>
    <col min="9730" max="9730" width="21.6640625" style="73" customWidth="1"/>
    <col min="9731" max="9731" width="27.83203125" style="73" customWidth="1"/>
    <col min="9732" max="9732" width="33.83203125" style="73" customWidth="1"/>
    <col min="9733" max="9733" width="60" style="73" customWidth="1"/>
    <col min="9734" max="9734" width="164.1640625" style="73" customWidth="1"/>
    <col min="9735" max="9735" width="24.5" style="73" customWidth="1"/>
    <col min="9736" max="9736" width="10.6640625" style="73" bestFit="1" customWidth="1"/>
    <col min="9737" max="9985" width="9.1640625" style="73"/>
    <col min="9986" max="9986" width="21.6640625" style="73" customWidth="1"/>
    <col min="9987" max="9987" width="27.83203125" style="73" customWidth="1"/>
    <col min="9988" max="9988" width="33.83203125" style="73" customWidth="1"/>
    <col min="9989" max="9989" width="60" style="73" customWidth="1"/>
    <col min="9990" max="9990" width="164.1640625" style="73" customWidth="1"/>
    <col min="9991" max="9991" width="24.5" style="73" customWidth="1"/>
    <col min="9992" max="9992" width="10.6640625" style="73" bestFit="1" customWidth="1"/>
    <col min="9993" max="10241" width="9.1640625" style="73"/>
    <col min="10242" max="10242" width="21.6640625" style="73" customWidth="1"/>
    <col min="10243" max="10243" width="27.83203125" style="73" customWidth="1"/>
    <col min="10244" max="10244" width="33.83203125" style="73" customWidth="1"/>
    <col min="10245" max="10245" width="60" style="73" customWidth="1"/>
    <col min="10246" max="10246" width="164.1640625" style="73" customWidth="1"/>
    <col min="10247" max="10247" width="24.5" style="73" customWidth="1"/>
    <col min="10248" max="10248" width="10.6640625" style="73" bestFit="1" customWidth="1"/>
    <col min="10249" max="10497" width="9.1640625" style="73"/>
    <col min="10498" max="10498" width="21.6640625" style="73" customWidth="1"/>
    <col min="10499" max="10499" width="27.83203125" style="73" customWidth="1"/>
    <col min="10500" max="10500" width="33.83203125" style="73" customWidth="1"/>
    <col min="10501" max="10501" width="60" style="73" customWidth="1"/>
    <col min="10502" max="10502" width="164.1640625" style="73" customWidth="1"/>
    <col min="10503" max="10503" width="24.5" style="73" customWidth="1"/>
    <col min="10504" max="10504" width="10.6640625" style="73" bestFit="1" customWidth="1"/>
    <col min="10505" max="10753" width="9.1640625" style="73"/>
    <col min="10754" max="10754" width="21.6640625" style="73" customWidth="1"/>
    <col min="10755" max="10755" width="27.83203125" style="73" customWidth="1"/>
    <col min="10756" max="10756" width="33.83203125" style="73" customWidth="1"/>
    <col min="10757" max="10757" width="60" style="73" customWidth="1"/>
    <col min="10758" max="10758" width="164.1640625" style="73" customWidth="1"/>
    <col min="10759" max="10759" width="24.5" style="73" customWidth="1"/>
    <col min="10760" max="10760" width="10.6640625" style="73" bestFit="1" customWidth="1"/>
    <col min="10761" max="11009" width="9.1640625" style="73"/>
    <col min="11010" max="11010" width="21.6640625" style="73" customWidth="1"/>
    <col min="11011" max="11011" width="27.83203125" style="73" customWidth="1"/>
    <col min="11012" max="11012" width="33.83203125" style="73" customWidth="1"/>
    <col min="11013" max="11013" width="60" style="73" customWidth="1"/>
    <col min="11014" max="11014" width="164.1640625" style="73" customWidth="1"/>
    <col min="11015" max="11015" width="24.5" style="73" customWidth="1"/>
    <col min="11016" max="11016" width="10.6640625" style="73" bestFit="1" customWidth="1"/>
    <col min="11017" max="11265" width="9.1640625" style="73"/>
    <col min="11266" max="11266" width="21.6640625" style="73" customWidth="1"/>
    <col min="11267" max="11267" width="27.83203125" style="73" customWidth="1"/>
    <col min="11268" max="11268" width="33.83203125" style="73" customWidth="1"/>
    <col min="11269" max="11269" width="60" style="73" customWidth="1"/>
    <col min="11270" max="11270" width="164.1640625" style="73" customWidth="1"/>
    <col min="11271" max="11271" width="24.5" style="73" customWidth="1"/>
    <col min="11272" max="11272" width="10.6640625" style="73" bestFit="1" customWidth="1"/>
    <col min="11273" max="11521" width="9.1640625" style="73"/>
    <col min="11522" max="11522" width="21.6640625" style="73" customWidth="1"/>
    <col min="11523" max="11523" width="27.83203125" style="73" customWidth="1"/>
    <col min="11524" max="11524" width="33.83203125" style="73" customWidth="1"/>
    <col min="11525" max="11525" width="60" style="73" customWidth="1"/>
    <col min="11526" max="11526" width="164.1640625" style="73" customWidth="1"/>
    <col min="11527" max="11527" width="24.5" style="73" customWidth="1"/>
    <col min="11528" max="11528" width="10.6640625" style="73" bestFit="1" customWidth="1"/>
    <col min="11529" max="11777" width="9.1640625" style="73"/>
    <col min="11778" max="11778" width="21.6640625" style="73" customWidth="1"/>
    <col min="11779" max="11779" width="27.83203125" style="73" customWidth="1"/>
    <col min="11780" max="11780" width="33.83203125" style="73" customWidth="1"/>
    <col min="11781" max="11781" width="60" style="73" customWidth="1"/>
    <col min="11782" max="11782" width="164.1640625" style="73" customWidth="1"/>
    <col min="11783" max="11783" width="24.5" style="73" customWidth="1"/>
    <col min="11784" max="11784" width="10.6640625" style="73" bestFit="1" customWidth="1"/>
    <col min="11785" max="12033" width="9.1640625" style="73"/>
    <col min="12034" max="12034" width="21.6640625" style="73" customWidth="1"/>
    <col min="12035" max="12035" width="27.83203125" style="73" customWidth="1"/>
    <col min="12036" max="12036" width="33.83203125" style="73" customWidth="1"/>
    <col min="12037" max="12037" width="60" style="73" customWidth="1"/>
    <col min="12038" max="12038" width="164.1640625" style="73" customWidth="1"/>
    <col min="12039" max="12039" width="24.5" style="73" customWidth="1"/>
    <col min="12040" max="12040" width="10.6640625" style="73" bestFit="1" customWidth="1"/>
    <col min="12041" max="12289" width="9.1640625" style="73"/>
    <col min="12290" max="12290" width="21.6640625" style="73" customWidth="1"/>
    <col min="12291" max="12291" width="27.83203125" style="73" customWidth="1"/>
    <col min="12292" max="12292" width="33.83203125" style="73" customWidth="1"/>
    <col min="12293" max="12293" width="60" style="73" customWidth="1"/>
    <col min="12294" max="12294" width="164.1640625" style="73" customWidth="1"/>
    <col min="12295" max="12295" width="24.5" style="73" customWidth="1"/>
    <col min="12296" max="12296" width="10.6640625" style="73" bestFit="1" customWidth="1"/>
    <col min="12297" max="12545" width="9.1640625" style="73"/>
    <col min="12546" max="12546" width="21.6640625" style="73" customWidth="1"/>
    <col min="12547" max="12547" width="27.83203125" style="73" customWidth="1"/>
    <col min="12548" max="12548" width="33.83203125" style="73" customWidth="1"/>
    <col min="12549" max="12549" width="60" style="73" customWidth="1"/>
    <col min="12550" max="12550" width="164.1640625" style="73" customWidth="1"/>
    <col min="12551" max="12551" width="24.5" style="73" customWidth="1"/>
    <col min="12552" max="12552" width="10.6640625" style="73" bestFit="1" customWidth="1"/>
    <col min="12553" max="12801" width="9.1640625" style="73"/>
    <col min="12802" max="12802" width="21.6640625" style="73" customWidth="1"/>
    <col min="12803" max="12803" width="27.83203125" style="73" customWidth="1"/>
    <col min="12804" max="12804" width="33.83203125" style="73" customWidth="1"/>
    <col min="12805" max="12805" width="60" style="73" customWidth="1"/>
    <col min="12806" max="12806" width="164.1640625" style="73" customWidth="1"/>
    <col min="12807" max="12807" width="24.5" style="73" customWidth="1"/>
    <col min="12808" max="12808" width="10.6640625" style="73" bestFit="1" customWidth="1"/>
    <col min="12809" max="13057" width="9.1640625" style="73"/>
    <col min="13058" max="13058" width="21.6640625" style="73" customWidth="1"/>
    <col min="13059" max="13059" width="27.83203125" style="73" customWidth="1"/>
    <col min="13060" max="13060" width="33.83203125" style="73" customWidth="1"/>
    <col min="13061" max="13061" width="60" style="73" customWidth="1"/>
    <col min="13062" max="13062" width="164.1640625" style="73" customWidth="1"/>
    <col min="13063" max="13063" width="24.5" style="73" customWidth="1"/>
    <col min="13064" max="13064" width="10.6640625" style="73" bestFit="1" customWidth="1"/>
    <col min="13065" max="13313" width="9.1640625" style="73"/>
    <col min="13314" max="13314" width="21.6640625" style="73" customWidth="1"/>
    <col min="13315" max="13315" width="27.83203125" style="73" customWidth="1"/>
    <col min="13316" max="13316" width="33.83203125" style="73" customWidth="1"/>
    <col min="13317" max="13317" width="60" style="73" customWidth="1"/>
    <col min="13318" max="13318" width="164.1640625" style="73" customWidth="1"/>
    <col min="13319" max="13319" width="24.5" style="73" customWidth="1"/>
    <col min="13320" max="13320" width="10.6640625" style="73" bestFit="1" customWidth="1"/>
    <col min="13321" max="13569" width="9.1640625" style="73"/>
    <col min="13570" max="13570" width="21.6640625" style="73" customWidth="1"/>
    <col min="13571" max="13571" width="27.83203125" style="73" customWidth="1"/>
    <col min="13572" max="13572" width="33.83203125" style="73" customWidth="1"/>
    <col min="13573" max="13573" width="60" style="73" customWidth="1"/>
    <col min="13574" max="13574" width="164.1640625" style="73" customWidth="1"/>
    <col min="13575" max="13575" width="24.5" style="73" customWidth="1"/>
    <col min="13576" max="13576" width="10.6640625" style="73" bestFit="1" customWidth="1"/>
    <col min="13577" max="13825" width="9.1640625" style="73"/>
    <col min="13826" max="13826" width="21.6640625" style="73" customWidth="1"/>
    <col min="13827" max="13827" width="27.83203125" style="73" customWidth="1"/>
    <col min="13828" max="13828" width="33.83203125" style="73" customWidth="1"/>
    <col min="13829" max="13829" width="60" style="73" customWidth="1"/>
    <col min="13830" max="13830" width="164.1640625" style="73" customWidth="1"/>
    <col min="13831" max="13831" width="24.5" style="73" customWidth="1"/>
    <col min="13832" max="13832" width="10.6640625" style="73" bestFit="1" customWidth="1"/>
    <col min="13833" max="14081" width="9.1640625" style="73"/>
    <col min="14082" max="14082" width="21.6640625" style="73" customWidth="1"/>
    <col min="14083" max="14083" width="27.83203125" style="73" customWidth="1"/>
    <col min="14084" max="14084" width="33.83203125" style="73" customWidth="1"/>
    <col min="14085" max="14085" width="60" style="73" customWidth="1"/>
    <col min="14086" max="14086" width="164.1640625" style="73" customWidth="1"/>
    <col min="14087" max="14087" width="24.5" style="73" customWidth="1"/>
    <col min="14088" max="14088" width="10.6640625" style="73" bestFit="1" customWidth="1"/>
    <col min="14089" max="14337" width="9.1640625" style="73"/>
    <col min="14338" max="14338" width="21.6640625" style="73" customWidth="1"/>
    <col min="14339" max="14339" width="27.83203125" style="73" customWidth="1"/>
    <col min="14340" max="14340" width="33.83203125" style="73" customWidth="1"/>
    <col min="14341" max="14341" width="60" style="73" customWidth="1"/>
    <col min="14342" max="14342" width="164.1640625" style="73" customWidth="1"/>
    <col min="14343" max="14343" width="24.5" style="73" customWidth="1"/>
    <col min="14344" max="14344" width="10.6640625" style="73" bestFit="1" customWidth="1"/>
    <col min="14345" max="14593" width="9.1640625" style="73"/>
    <col min="14594" max="14594" width="21.6640625" style="73" customWidth="1"/>
    <col min="14595" max="14595" width="27.83203125" style="73" customWidth="1"/>
    <col min="14596" max="14596" width="33.83203125" style="73" customWidth="1"/>
    <col min="14597" max="14597" width="60" style="73" customWidth="1"/>
    <col min="14598" max="14598" width="164.1640625" style="73" customWidth="1"/>
    <col min="14599" max="14599" width="24.5" style="73" customWidth="1"/>
    <col min="14600" max="14600" width="10.6640625" style="73" bestFit="1" customWidth="1"/>
    <col min="14601" max="14849" width="9.1640625" style="73"/>
    <col min="14850" max="14850" width="21.6640625" style="73" customWidth="1"/>
    <col min="14851" max="14851" width="27.83203125" style="73" customWidth="1"/>
    <col min="14852" max="14852" width="33.83203125" style="73" customWidth="1"/>
    <col min="14853" max="14853" width="60" style="73" customWidth="1"/>
    <col min="14854" max="14854" width="164.1640625" style="73" customWidth="1"/>
    <col min="14855" max="14855" width="24.5" style="73" customWidth="1"/>
    <col min="14856" max="14856" width="10.6640625" style="73" bestFit="1" customWidth="1"/>
    <col min="14857" max="15105" width="9.1640625" style="73"/>
    <col min="15106" max="15106" width="21.6640625" style="73" customWidth="1"/>
    <col min="15107" max="15107" width="27.83203125" style="73" customWidth="1"/>
    <col min="15108" max="15108" width="33.83203125" style="73" customWidth="1"/>
    <col min="15109" max="15109" width="60" style="73" customWidth="1"/>
    <col min="15110" max="15110" width="164.1640625" style="73" customWidth="1"/>
    <col min="15111" max="15111" width="24.5" style="73" customWidth="1"/>
    <col min="15112" max="15112" width="10.6640625" style="73" bestFit="1" customWidth="1"/>
    <col min="15113" max="15361" width="9.1640625" style="73"/>
    <col min="15362" max="15362" width="21.6640625" style="73" customWidth="1"/>
    <col min="15363" max="15363" width="27.83203125" style="73" customWidth="1"/>
    <col min="15364" max="15364" width="33.83203125" style="73" customWidth="1"/>
    <col min="15365" max="15365" width="60" style="73" customWidth="1"/>
    <col min="15366" max="15366" width="164.1640625" style="73" customWidth="1"/>
    <col min="15367" max="15367" width="24.5" style="73" customWidth="1"/>
    <col min="15368" max="15368" width="10.6640625" style="73" bestFit="1" customWidth="1"/>
    <col min="15369" max="15617" width="9.1640625" style="73"/>
    <col min="15618" max="15618" width="21.6640625" style="73" customWidth="1"/>
    <col min="15619" max="15619" width="27.83203125" style="73" customWidth="1"/>
    <col min="15620" max="15620" width="33.83203125" style="73" customWidth="1"/>
    <col min="15621" max="15621" width="60" style="73" customWidth="1"/>
    <col min="15622" max="15622" width="164.1640625" style="73" customWidth="1"/>
    <col min="15623" max="15623" width="24.5" style="73" customWidth="1"/>
    <col min="15624" max="15624" width="10.6640625" style="73" bestFit="1" customWidth="1"/>
    <col min="15625" max="15873" width="9.1640625" style="73"/>
    <col min="15874" max="15874" width="21.6640625" style="73" customWidth="1"/>
    <col min="15875" max="15875" width="27.83203125" style="73" customWidth="1"/>
    <col min="15876" max="15876" width="33.83203125" style="73" customWidth="1"/>
    <col min="15877" max="15877" width="60" style="73" customWidth="1"/>
    <col min="15878" max="15878" width="164.1640625" style="73" customWidth="1"/>
    <col min="15879" max="15879" width="24.5" style="73" customWidth="1"/>
    <col min="15880" max="15880" width="10.6640625" style="73" bestFit="1" customWidth="1"/>
    <col min="15881" max="16129" width="9.1640625" style="73"/>
    <col min="16130" max="16130" width="21.6640625" style="73" customWidth="1"/>
    <col min="16131" max="16131" width="27.83203125" style="73" customWidth="1"/>
    <col min="16132" max="16132" width="33.83203125" style="73" customWidth="1"/>
    <col min="16133" max="16133" width="60" style="73" customWidth="1"/>
    <col min="16134" max="16134" width="164.1640625" style="73" customWidth="1"/>
    <col min="16135" max="16135" width="24.5" style="73" customWidth="1"/>
    <col min="16136" max="16136" width="10.6640625" style="73" bestFit="1" customWidth="1"/>
    <col min="16137" max="16384" width="9.1640625" style="73"/>
  </cols>
  <sheetData>
    <row r="1" spans="2:12">
      <c r="C1" s="95"/>
      <c r="D1" s="95"/>
    </row>
    <row r="2" spans="2:12">
      <c r="B2" s="1057" t="str">
        <f>Index!B2</f>
        <v>Jaigad Power Transco Ltd</v>
      </c>
      <c r="C2" s="1057"/>
      <c r="D2" s="1057"/>
      <c r="E2" s="1057"/>
      <c r="F2" s="1057"/>
      <c r="G2" s="258"/>
      <c r="H2" s="258"/>
      <c r="I2" s="258"/>
    </row>
    <row r="3" spans="2:12">
      <c r="B3" s="1184" t="s">
        <v>435</v>
      </c>
      <c r="C3" s="1184"/>
      <c r="D3" s="1184"/>
      <c r="E3" s="1184"/>
      <c r="F3" s="1184"/>
      <c r="G3" s="259"/>
      <c r="H3" s="259"/>
      <c r="I3" s="259"/>
    </row>
    <row r="4" spans="2:12">
      <c r="B4" s="1184" t="s">
        <v>688</v>
      </c>
      <c r="C4" s="1184"/>
      <c r="D4" s="1184"/>
      <c r="E4" s="1184"/>
      <c r="F4" s="1184"/>
      <c r="G4" s="259"/>
      <c r="H4" s="259"/>
      <c r="I4" s="259"/>
    </row>
    <row r="5" spans="2:12">
      <c r="B5" s="260"/>
      <c r="C5" s="260"/>
      <c r="D5" s="260"/>
    </row>
    <row r="6" spans="2:12" s="263" customFormat="1" ht="48">
      <c r="B6" s="261" t="s">
        <v>4</v>
      </c>
      <c r="C6" s="262" t="s">
        <v>371</v>
      </c>
      <c r="D6" s="262" t="s">
        <v>436</v>
      </c>
      <c r="E6" s="262" t="s">
        <v>372</v>
      </c>
      <c r="F6" s="262" t="s">
        <v>373</v>
      </c>
    </row>
    <row r="7" spans="2:12" s="263" customFormat="1">
      <c r="B7" s="186"/>
      <c r="C7" s="186"/>
      <c r="D7" s="186"/>
      <c r="E7" s="186"/>
      <c r="F7" s="186"/>
    </row>
    <row r="8" spans="2:12" s="263" customFormat="1">
      <c r="B8" s="186"/>
      <c r="C8" s="186"/>
      <c r="D8" s="186"/>
      <c r="E8" s="186"/>
      <c r="F8" s="186"/>
    </row>
    <row r="9" spans="2:12" s="263" customFormat="1">
      <c r="B9" s="186"/>
      <c r="C9" s="186"/>
      <c r="D9" s="186"/>
      <c r="E9" s="186"/>
      <c r="F9" s="186"/>
    </row>
    <row r="10" spans="2:12" s="263" customFormat="1">
      <c r="B10" s="186"/>
      <c r="C10" s="264"/>
      <c r="D10" s="264"/>
      <c r="E10" s="186"/>
      <c r="F10" s="265"/>
    </row>
    <row r="11" spans="2:12" s="263" customFormat="1">
      <c r="B11" s="186"/>
      <c r="C11" s="264"/>
      <c r="D11" s="264"/>
      <c r="E11" s="186"/>
      <c r="F11" s="265"/>
    </row>
    <row r="12" spans="2:12" s="263" customFormat="1">
      <c r="B12" s="186"/>
      <c r="C12" s="264"/>
      <c r="D12" s="264"/>
      <c r="E12" s="186"/>
      <c r="F12" s="265"/>
    </row>
    <row r="13" spans="2:12" s="263" customFormat="1">
      <c r="B13" s="266"/>
      <c r="C13" s="267"/>
      <c r="D13" s="268"/>
      <c r="E13" s="266"/>
      <c r="F13" s="269"/>
      <c r="G13" s="270"/>
      <c r="H13" s="271"/>
      <c r="I13" s="268"/>
      <c r="J13" s="211"/>
      <c r="L13" s="272"/>
    </row>
    <row r="14" spans="2:12">
      <c r="B14" s="73" t="s">
        <v>712</v>
      </c>
    </row>
    <row r="15" spans="2:12">
      <c r="B15" s="73" t="s">
        <v>537</v>
      </c>
    </row>
  </sheetData>
  <mergeCells count="3">
    <mergeCell ref="B2:F2"/>
    <mergeCell ref="B3:F3"/>
    <mergeCell ref="B4:F4"/>
  </mergeCells>
  <printOptions horizontalCentered="1" verticalCentered="1"/>
  <pageMargins left="1.1023622047244099" right="0.59055118110236204" top="0.78740157480314998" bottom="0.27559055118110198" header="0.511811023622047" footer="0.15748031496063"/>
  <pageSetup paperSize="9" scale="8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D21"/>
  <sheetViews>
    <sheetView showGridLines="0" view="pageBreakPreview" zoomScale="70" zoomScaleNormal="75" zoomScaleSheetLayoutView="70" workbookViewId="0">
      <selection activeCell="B4" sqref="B4:D4"/>
    </sheetView>
  </sheetViews>
  <sheetFormatPr baseColWidth="10" defaultColWidth="9.1640625" defaultRowHeight="15"/>
  <cols>
    <col min="1" max="1" width="9.1640625" style="121"/>
    <col min="2" max="2" width="62.1640625" style="121" customWidth="1"/>
    <col min="3" max="3" width="24.5" style="121" customWidth="1"/>
    <col min="4" max="4" width="26.83203125" style="121" customWidth="1"/>
    <col min="5" max="255" width="9.1640625" style="121"/>
    <col min="256" max="256" width="110.33203125" style="121" customWidth="1"/>
    <col min="257" max="257" width="43.5" style="121" customWidth="1"/>
    <col min="258" max="258" width="35.5" style="121" customWidth="1"/>
    <col min="259" max="259" width="36" style="121" customWidth="1"/>
    <col min="260" max="260" width="34.83203125" style="121" customWidth="1"/>
    <col min="261" max="511" width="9.1640625" style="121"/>
    <col min="512" max="512" width="110.33203125" style="121" customWidth="1"/>
    <col min="513" max="513" width="43.5" style="121" customWidth="1"/>
    <col min="514" max="514" width="35.5" style="121" customWidth="1"/>
    <col min="515" max="515" width="36" style="121" customWidth="1"/>
    <col min="516" max="516" width="34.83203125" style="121" customWidth="1"/>
    <col min="517" max="767" width="9.1640625" style="121"/>
    <col min="768" max="768" width="110.33203125" style="121" customWidth="1"/>
    <col min="769" max="769" width="43.5" style="121" customWidth="1"/>
    <col min="770" max="770" width="35.5" style="121" customWidth="1"/>
    <col min="771" max="771" width="36" style="121" customWidth="1"/>
    <col min="772" max="772" width="34.83203125" style="121" customWidth="1"/>
    <col min="773" max="1023" width="9.1640625" style="121"/>
    <col min="1024" max="1024" width="110.33203125" style="121" customWidth="1"/>
    <col min="1025" max="1025" width="43.5" style="121" customWidth="1"/>
    <col min="1026" max="1026" width="35.5" style="121" customWidth="1"/>
    <col min="1027" max="1027" width="36" style="121" customWidth="1"/>
    <col min="1028" max="1028" width="34.83203125" style="121" customWidth="1"/>
    <col min="1029" max="1279" width="9.1640625" style="121"/>
    <col min="1280" max="1280" width="110.33203125" style="121" customWidth="1"/>
    <col min="1281" max="1281" width="43.5" style="121" customWidth="1"/>
    <col min="1282" max="1282" width="35.5" style="121" customWidth="1"/>
    <col min="1283" max="1283" width="36" style="121" customWidth="1"/>
    <col min="1284" max="1284" width="34.83203125" style="121" customWidth="1"/>
    <col min="1285" max="1535" width="9.1640625" style="121"/>
    <col min="1536" max="1536" width="110.33203125" style="121" customWidth="1"/>
    <col min="1537" max="1537" width="43.5" style="121" customWidth="1"/>
    <col min="1538" max="1538" width="35.5" style="121" customWidth="1"/>
    <col min="1539" max="1539" width="36" style="121" customWidth="1"/>
    <col min="1540" max="1540" width="34.83203125" style="121" customWidth="1"/>
    <col min="1541" max="1791" width="9.1640625" style="121"/>
    <col min="1792" max="1792" width="110.33203125" style="121" customWidth="1"/>
    <col min="1793" max="1793" width="43.5" style="121" customWidth="1"/>
    <col min="1794" max="1794" width="35.5" style="121" customWidth="1"/>
    <col min="1795" max="1795" width="36" style="121" customWidth="1"/>
    <col min="1796" max="1796" width="34.83203125" style="121" customWidth="1"/>
    <col min="1797" max="2047" width="9.1640625" style="121"/>
    <col min="2048" max="2048" width="110.33203125" style="121" customWidth="1"/>
    <col min="2049" max="2049" width="43.5" style="121" customWidth="1"/>
    <col min="2050" max="2050" width="35.5" style="121" customWidth="1"/>
    <col min="2051" max="2051" width="36" style="121" customWidth="1"/>
    <col min="2052" max="2052" width="34.83203125" style="121" customWidth="1"/>
    <col min="2053" max="2303" width="9.1640625" style="121"/>
    <col min="2304" max="2304" width="110.33203125" style="121" customWidth="1"/>
    <col min="2305" max="2305" width="43.5" style="121" customWidth="1"/>
    <col min="2306" max="2306" width="35.5" style="121" customWidth="1"/>
    <col min="2307" max="2307" width="36" style="121" customWidth="1"/>
    <col min="2308" max="2308" width="34.83203125" style="121" customWidth="1"/>
    <col min="2309" max="2559" width="9.1640625" style="121"/>
    <col min="2560" max="2560" width="110.33203125" style="121" customWidth="1"/>
    <col min="2561" max="2561" width="43.5" style="121" customWidth="1"/>
    <col min="2562" max="2562" width="35.5" style="121" customWidth="1"/>
    <col min="2563" max="2563" width="36" style="121" customWidth="1"/>
    <col min="2564" max="2564" width="34.83203125" style="121" customWidth="1"/>
    <col min="2565" max="2815" width="9.1640625" style="121"/>
    <col min="2816" max="2816" width="110.33203125" style="121" customWidth="1"/>
    <col min="2817" max="2817" width="43.5" style="121" customWidth="1"/>
    <col min="2818" max="2818" width="35.5" style="121" customWidth="1"/>
    <col min="2819" max="2819" width="36" style="121" customWidth="1"/>
    <col min="2820" max="2820" width="34.83203125" style="121" customWidth="1"/>
    <col min="2821" max="3071" width="9.1640625" style="121"/>
    <col min="3072" max="3072" width="110.33203125" style="121" customWidth="1"/>
    <col min="3073" max="3073" width="43.5" style="121" customWidth="1"/>
    <col min="3074" max="3074" width="35.5" style="121" customWidth="1"/>
    <col min="3075" max="3075" width="36" style="121" customWidth="1"/>
    <col min="3076" max="3076" width="34.83203125" style="121" customWidth="1"/>
    <col min="3077" max="3327" width="9.1640625" style="121"/>
    <col min="3328" max="3328" width="110.33203125" style="121" customWidth="1"/>
    <col min="3329" max="3329" width="43.5" style="121" customWidth="1"/>
    <col min="3330" max="3330" width="35.5" style="121" customWidth="1"/>
    <col min="3331" max="3331" width="36" style="121" customWidth="1"/>
    <col min="3332" max="3332" width="34.83203125" style="121" customWidth="1"/>
    <col min="3333" max="3583" width="9.1640625" style="121"/>
    <col min="3584" max="3584" width="110.33203125" style="121" customWidth="1"/>
    <col min="3585" max="3585" width="43.5" style="121" customWidth="1"/>
    <col min="3586" max="3586" width="35.5" style="121" customWidth="1"/>
    <col min="3587" max="3587" width="36" style="121" customWidth="1"/>
    <col min="3588" max="3588" width="34.83203125" style="121" customWidth="1"/>
    <col min="3589" max="3839" width="9.1640625" style="121"/>
    <col min="3840" max="3840" width="110.33203125" style="121" customWidth="1"/>
    <col min="3841" max="3841" width="43.5" style="121" customWidth="1"/>
    <col min="3842" max="3842" width="35.5" style="121" customWidth="1"/>
    <col min="3843" max="3843" width="36" style="121" customWidth="1"/>
    <col min="3844" max="3844" width="34.83203125" style="121" customWidth="1"/>
    <col min="3845" max="4095" width="9.1640625" style="121"/>
    <col min="4096" max="4096" width="110.33203125" style="121" customWidth="1"/>
    <col min="4097" max="4097" width="43.5" style="121" customWidth="1"/>
    <col min="4098" max="4098" width="35.5" style="121" customWidth="1"/>
    <col min="4099" max="4099" width="36" style="121" customWidth="1"/>
    <col min="4100" max="4100" width="34.83203125" style="121" customWidth="1"/>
    <col min="4101" max="4351" width="9.1640625" style="121"/>
    <col min="4352" max="4352" width="110.33203125" style="121" customWidth="1"/>
    <col min="4353" max="4353" width="43.5" style="121" customWidth="1"/>
    <col min="4354" max="4354" width="35.5" style="121" customWidth="1"/>
    <col min="4355" max="4355" width="36" style="121" customWidth="1"/>
    <col min="4356" max="4356" width="34.83203125" style="121" customWidth="1"/>
    <col min="4357" max="4607" width="9.1640625" style="121"/>
    <col min="4608" max="4608" width="110.33203125" style="121" customWidth="1"/>
    <col min="4609" max="4609" width="43.5" style="121" customWidth="1"/>
    <col min="4610" max="4610" width="35.5" style="121" customWidth="1"/>
    <col min="4611" max="4611" width="36" style="121" customWidth="1"/>
    <col min="4612" max="4612" width="34.83203125" style="121" customWidth="1"/>
    <col min="4613" max="4863" width="9.1640625" style="121"/>
    <col min="4864" max="4864" width="110.33203125" style="121" customWidth="1"/>
    <col min="4865" max="4865" width="43.5" style="121" customWidth="1"/>
    <col min="4866" max="4866" width="35.5" style="121" customWidth="1"/>
    <col min="4867" max="4867" width="36" style="121" customWidth="1"/>
    <col min="4868" max="4868" width="34.83203125" style="121" customWidth="1"/>
    <col min="4869" max="5119" width="9.1640625" style="121"/>
    <col min="5120" max="5120" width="110.33203125" style="121" customWidth="1"/>
    <col min="5121" max="5121" width="43.5" style="121" customWidth="1"/>
    <col min="5122" max="5122" width="35.5" style="121" customWidth="1"/>
    <col min="5123" max="5123" width="36" style="121" customWidth="1"/>
    <col min="5124" max="5124" width="34.83203125" style="121" customWidth="1"/>
    <col min="5125" max="5375" width="9.1640625" style="121"/>
    <col min="5376" max="5376" width="110.33203125" style="121" customWidth="1"/>
    <col min="5377" max="5377" width="43.5" style="121" customWidth="1"/>
    <col min="5378" max="5378" width="35.5" style="121" customWidth="1"/>
    <col min="5379" max="5379" width="36" style="121" customWidth="1"/>
    <col min="5380" max="5380" width="34.83203125" style="121" customWidth="1"/>
    <col min="5381" max="5631" width="9.1640625" style="121"/>
    <col min="5632" max="5632" width="110.33203125" style="121" customWidth="1"/>
    <col min="5633" max="5633" width="43.5" style="121" customWidth="1"/>
    <col min="5634" max="5634" width="35.5" style="121" customWidth="1"/>
    <col min="5635" max="5635" width="36" style="121" customWidth="1"/>
    <col min="5636" max="5636" width="34.83203125" style="121" customWidth="1"/>
    <col min="5637" max="5887" width="9.1640625" style="121"/>
    <col min="5888" max="5888" width="110.33203125" style="121" customWidth="1"/>
    <col min="5889" max="5889" width="43.5" style="121" customWidth="1"/>
    <col min="5890" max="5890" width="35.5" style="121" customWidth="1"/>
    <col min="5891" max="5891" width="36" style="121" customWidth="1"/>
    <col min="5892" max="5892" width="34.83203125" style="121" customWidth="1"/>
    <col min="5893" max="6143" width="9.1640625" style="121"/>
    <col min="6144" max="6144" width="110.33203125" style="121" customWidth="1"/>
    <col min="6145" max="6145" width="43.5" style="121" customWidth="1"/>
    <col min="6146" max="6146" width="35.5" style="121" customWidth="1"/>
    <col min="6147" max="6147" width="36" style="121" customWidth="1"/>
    <col min="6148" max="6148" width="34.83203125" style="121" customWidth="1"/>
    <col min="6149" max="6399" width="9.1640625" style="121"/>
    <col min="6400" max="6400" width="110.33203125" style="121" customWidth="1"/>
    <col min="6401" max="6401" width="43.5" style="121" customWidth="1"/>
    <col min="6402" max="6402" width="35.5" style="121" customWidth="1"/>
    <col min="6403" max="6403" width="36" style="121" customWidth="1"/>
    <col min="6404" max="6404" width="34.83203125" style="121" customWidth="1"/>
    <col min="6405" max="6655" width="9.1640625" style="121"/>
    <col min="6656" max="6656" width="110.33203125" style="121" customWidth="1"/>
    <col min="6657" max="6657" width="43.5" style="121" customWidth="1"/>
    <col min="6658" max="6658" width="35.5" style="121" customWidth="1"/>
    <col min="6659" max="6659" width="36" style="121" customWidth="1"/>
    <col min="6660" max="6660" width="34.83203125" style="121" customWidth="1"/>
    <col min="6661" max="6911" width="9.1640625" style="121"/>
    <col min="6912" max="6912" width="110.33203125" style="121" customWidth="1"/>
    <col min="6913" max="6913" width="43.5" style="121" customWidth="1"/>
    <col min="6914" max="6914" width="35.5" style="121" customWidth="1"/>
    <col min="6915" max="6915" width="36" style="121" customWidth="1"/>
    <col min="6916" max="6916" width="34.83203125" style="121" customWidth="1"/>
    <col min="6917" max="7167" width="9.1640625" style="121"/>
    <col min="7168" max="7168" width="110.33203125" style="121" customWidth="1"/>
    <col min="7169" max="7169" width="43.5" style="121" customWidth="1"/>
    <col min="7170" max="7170" width="35.5" style="121" customWidth="1"/>
    <col min="7171" max="7171" width="36" style="121" customWidth="1"/>
    <col min="7172" max="7172" width="34.83203125" style="121" customWidth="1"/>
    <col min="7173" max="7423" width="9.1640625" style="121"/>
    <col min="7424" max="7424" width="110.33203125" style="121" customWidth="1"/>
    <col min="7425" max="7425" width="43.5" style="121" customWidth="1"/>
    <col min="7426" max="7426" width="35.5" style="121" customWidth="1"/>
    <col min="7427" max="7427" width="36" style="121" customWidth="1"/>
    <col min="7428" max="7428" width="34.83203125" style="121" customWidth="1"/>
    <col min="7429" max="7679" width="9.1640625" style="121"/>
    <col min="7680" max="7680" width="110.33203125" style="121" customWidth="1"/>
    <col min="7681" max="7681" width="43.5" style="121" customWidth="1"/>
    <col min="7682" max="7682" width="35.5" style="121" customWidth="1"/>
    <col min="7683" max="7683" width="36" style="121" customWidth="1"/>
    <col min="7684" max="7684" width="34.83203125" style="121" customWidth="1"/>
    <col min="7685" max="7935" width="9.1640625" style="121"/>
    <col min="7936" max="7936" width="110.33203125" style="121" customWidth="1"/>
    <col min="7937" max="7937" width="43.5" style="121" customWidth="1"/>
    <col min="7938" max="7938" width="35.5" style="121" customWidth="1"/>
    <col min="7939" max="7939" width="36" style="121" customWidth="1"/>
    <col min="7940" max="7940" width="34.83203125" style="121" customWidth="1"/>
    <col min="7941" max="8191" width="9.1640625" style="121"/>
    <col min="8192" max="8192" width="110.33203125" style="121" customWidth="1"/>
    <col min="8193" max="8193" width="43.5" style="121" customWidth="1"/>
    <col min="8194" max="8194" width="35.5" style="121" customWidth="1"/>
    <col min="8195" max="8195" width="36" style="121" customWidth="1"/>
    <col min="8196" max="8196" width="34.83203125" style="121" customWidth="1"/>
    <col min="8197" max="8447" width="9.1640625" style="121"/>
    <col min="8448" max="8448" width="110.33203125" style="121" customWidth="1"/>
    <col min="8449" max="8449" width="43.5" style="121" customWidth="1"/>
    <col min="8450" max="8450" width="35.5" style="121" customWidth="1"/>
    <col min="8451" max="8451" width="36" style="121" customWidth="1"/>
    <col min="8452" max="8452" width="34.83203125" style="121" customWidth="1"/>
    <col min="8453" max="8703" width="9.1640625" style="121"/>
    <col min="8704" max="8704" width="110.33203125" style="121" customWidth="1"/>
    <col min="8705" max="8705" width="43.5" style="121" customWidth="1"/>
    <col min="8706" max="8706" width="35.5" style="121" customWidth="1"/>
    <col min="8707" max="8707" width="36" style="121" customWidth="1"/>
    <col min="8708" max="8708" width="34.83203125" style="121" customWidth="1"/>
    <col min="8709" max="8959" width="9.1640625" style="121"/>
    <col min="8960" max="8960" width="110.33203125" style="121" customWidth="1"/>
    <col min="8961" max="8961" width="43.5" style="121" customWidth="1"/>
    <col min="8962" max="8962" width="35.5" style="121" customWidth="1"/>
    <col min="8963" max="8963" width="36" style="121" customWidth="1"/>
    <col min="8964" max="8964" width="34.83203125" style="121" customWidth="1"/>
    <col min="8965" max="9215" width="9.1640625" style="121"/>
    <col min="9216" max="9216" width="110.33203125" style="121" customWidth="1"/>
    <col min="9217" max="9217" width="43.5" style="121" customWidth="1"/>
    <col min="9218" max="9218" width="35.5" style="121" customWidth="1"/>
    <col min="9219" max="9219" width="36" style="121" customWidth="1"/>
    <col min="9220" max="9220" width="34.83203125" style="121" customWidth="1"/>
    <col min="9221" max="9471" width="9.1640625" style="121"/>
    <col min="9472" max="9472" width="110.33203125" style="121" customWidth="1"/>
    <col min="9473" max="9473" width="43.5" style="121" customWidth="1"/>
    <col min="9474" max="9474" width="35.5" style="121" customWidth="1"/>
    <col min="9475" max="9475" width="36" style="121" customWidth="1"/>
    <col min="9476" max="9476" width="34.83203125" style="121" customWidth="1"/>
    <col min="9477" max="9727" width="9.1640625" style="121"/>
    <col min="9728" max="9728" width="110.33203125" style="121" customWidth="1"/>
    <col min="9729" max="9729" width="43.5" style="121" customWidth="1"/>
    <col min="9730" max="9730" width="35.5" style="121" customWidth="1"/>
    <col min="9731" max="9731" width="36" style="121" customWidth="1"/>
    <col min="9732" max="9732" width="34.83203125" style="121" customWidth="1"/>
    <col min="9733" max="9983" width="9.1640625" style="121"/>
    <col min="9984" max="9984" width="110.33203125" style="121" customWidth="1"/>
    <col min="9985" max="9985" width="43.5" style="121" customWidth="1"/>
    <col min="9986" max="9986" width="35.5" style="121" customWidth="1"/>
    <col min="9987" max="9987" width="36" style="121" customWidth="1"/>
    <col min="9988" max="9988" width="34.83203125" style="121" customWidth="1"/>
    <col min="9989" max="10239" width="9.1640625" style="121"/>
    <col min="10240" max="10240" width="110.33203125" style="121" customWidth="1"/>
    <col min="10241" max="10241" width="43.5" style="121" customWidth="1"/>
    <col min="10242" max="10242" width="35.5" style="121" customWidth="1"/>
    <col min="10243" max="10243" width="36" style="121" customWidth="1"/>
    <col min="10244" max="10244" width="34.83203125" style="121" customWidth="1"/>
    <col min="10245" max="10495" width="9.1640625" style="121"/>
    <col min="10496" max="10496" width="110.33203125" style="121" customWidth="1"/>
    <col min="10497" max="10497" width="43.5" style="121" customWidth="1"/>
    <col min="10498" max="10498" width="35.5" style="121" customWidth="1"/>
    <col min="10499" max="10499" width="36" style="121" customWidth="1"/>
    <col min="10500" max="10500" width="34.83203125" style="121" customWidth="1"/>
    <col min="10501" max="10751" width="9.1640625" style="121"/>
    <col min="10752" max="10752" width="110.33203125" style="121" customWidth="1"/>
    <col min="10753" max="10753" width="43.5" style="121" customWidth="1"/>
    <col min="10754" max="10754" width="35.5" style="121" customWidth="1"/>
    <col min="10755" max="10755" width="36" style="121" customWidth="1"/>
    <col min="10756" max="10756" width="34.83203125" style="121" customWidth="1"/>
    <col min="10757" max="11007" width="9.1640625" style="121"/>
    <col min="11008" max="11008" width="110.33203125" style="121" customWidth="1"/>
    <col min="11009" max="11009" width="43.5" style="121" customWidth="1"/>
    <col min="11010" max="11010" width="35.5" style="121" customWidth="1"/>
    <col min="11011" max="11011" width="36" style="121" customWidth="1"/>
    <col min="11012" max="11012" width="34.83203125" style="121" customWidth="1"/>
    <col min="11013" max="11263" width="9.1640625" style="121"/>
    <col min="11264" max="11264" width="110.33203125" style="121" customWidth="1"/>
    <col min="11265" max="11265" width="43.5" style="121" customWidth="1"/>
    <col min="11266" max="11266" width="35.5" style="121" customWidth="1"/>
    <col min="11267" max="11267" width="36" style="121" customWidth="1"/>
    <col min="11268" max="11268" width="34.83203125" style="121" customWidth="1"/>
    <col min="11269" max="11519" width="9.1640625" style="121"/>
    <col min="11520" max="11520" width="110.33203125" style="121" customWidth="1"/>
    <col min="11521" max="11521" width="43.5" style="121" customWidth="1"/>
    <col min="11522" max="11522" width="35.5" style="121" customWidth="1"/>
    <col min="11523" max="11523" width="36" style="121" customWidth="1"/>
    <col min="11524" max="11524" width="34.83203125" style="121" customWidth="1"/>
    <col min="11525" max="11775" width="9.1640625" style="121"/>
    <col min="11776" max="11776" width="110.33203125" style="121" customWidth="1"/>
    <col min="11777" max="11777" width="43.5" style="121" customWidth="1"/>
    <col min="11778" max="11778" width="35.5" style="121" customWidth="1"/>
    <col min="11779" max="11779" width="36" style="121" customWidth="1"/>
    <col min="11780" max="11780" width="34.83203125" style="121" customWidth="1"/>
    <col min="11781" max="12031" width="9.1640625" style="121"/>
    <col min="12032" max="12032" width="110.33203125" style="121" customWidth="1"/>
    <col min="12033" max="12033" width="43.5" style="121" customWidth="1"/>
    <col min="12034" max="12034" width="35.5" style="121" customWidth="1"/>
    <col min="12035" max="12035" width="36" style="121" customWidth="1"/>
    <col min="12036" max="12036" width="34.83203125" style="121" customWidth="1"/>
    <col min="12037" max="12287" width="9.1640625" style="121"/>
    <col min="12288" max="12288" width="110.33203125" style="121" customWidth="1"/>
    <col min="12289" max="12289" width="43.5" style="121" customWidth="1"/>
    <col min="12290" max="12290" width="35.5" style="121" customWidth="1"/>
    <col min="12291" max="12291" width="36" style="121" customWidth="1"/>
    <col min="12292" max="12292" width="34.83203125" style="121" customWidth="1"/>
    <col min="12293" max="12543" width="9.1640625" style="121"/>
    <col min="12544" max="12544" width="110.33203125" style="121" customWidth="1"/>
    <col min="12545" max="12545" width="43.5" style="121" customWidth="1"/>
    <col min="12546" max="12546" width="35.5" style="121" customWidth="1"/>
    <col min="12547" max="12547" width="36" style="121" customWidth="1"/>
    <col min="12548" max="12548" width="34.83203125" style="121" customWidth="1"/>
    <col min="12549" max="12799" width="9.1640625" style="121"/>
    <col min="12800" max="12800" width="110.33203125" style="121" customWidth="1"/>
    <col min="12801" max="12801" width="43.5" style="121" customWidth="1"/>
    <col min="12802" max="12802" width="35.5" style="121" customWidth="1"/>
    <col min="12803" max="12803" width="36" style="121" customWidth="1"/>
    <col min="12804" max="12804" width="34.83203125" style="121" customWidth="1"/>
    <col min="12805" max="13055" width="9.1640625" style="121"/>
    <col min="13056" max="13056" width="110.33203125" style="121" customWidth="1"/>
    <col min="13057" max="13057" width="43.5" style="121" customWidth="1"/>
    <col min="13058" max="13058" width="35.5" style="121" customWidth="1"/>
    <col min="13059" max="13059" width="36" style="121" customWidth="1"/>
    <col min="13060" max="13060" width="34.83203125" style="121" customWidth="1"/>
    <col min="13061" max="13311" width="9.1640625" style="121"/>
    <col min="13312" max="13312" width="110.33203125" style="121" customWidth="1"/>
    <col min="13313" max="13313" width="43.5" style="121" customWidth="1"/>
    <col min="13314" max="13314" width="35.5" style="121" customWidth="1"/>
    <col min="13315" max="13315" width="36" style="121" customWidth="1"/>
    <col min="13316" max="13316" width="34.83203125" style="121" customWidth="1"/>
    <col min="13317" max="13567" width="9.1640625" style="121"/>
    <col min="13568" max="13568" width="110.33203125" style="121" customWidth="1"/>
    <col min="13569" max="13569" width="43.5" style="121" customWidth="1"/>
    <col min="13570" max="13570" width="35.5" style="121" customWidth="1"/>
    <col min="13571" max="13571" width="36" style="121" customWidth="1"/>
    <col min="13572" max="13572" width="34.83203125" style="121" customWidth="1"/>
    <col min="13573" max="13823" width="9.1640625" style="121"/>
    <col min="13824" max="13824" width="110.33203125" style="121" customWidth="1"/>
    <col min="13825" max="13825" width="43.5" style="121" customWidth="1"/>
    <col min="13826" max="13826" width="35.5" style="121" customWidth="1"/>
    <col min="13827" max="13827" width="36" style="121" customWidth="1"/>
    <col min="13828" max="13828" width="34.83203125" style="121" customWidth="1"/>
    <col min="13829" max="14079" width="9.1640625" style="121"/>
    <col min="14080" max="14080" width="110.33203125" style="121" customWidth="1"/>
    <col min="14081" max="14081" width="43.5" style="121" customWidth="1"/>
    <col min="14082" max="14082" width="35.5" style="121" customWidth="1"/>
    <col min="14083" max="14083" width="36" style="121" customWidth="1"/>
    <col min="14084" max="14084" width="34.83203125" style="121" customWidth="1"/>
    <col min="14085" max="14335" width="9.1640625" style="121"/>
    <col min="14336" max="14336" width="110.33203125" style="121" customWidth="1"/>
    <col min="14337" max="14337" width="43.5" style="121" customWidth="1"/>
    <col min="14338" max="14338" width="35.5" style="121" customWidth="1"/>
    <col min="14339" max="14339" width="36" style="121" customWidth="1"/>
    <col min="14340" max="14340" width="34.83203125" style="121" customWidth="1"/>
    <col min="14341" max="14591" width="9.1640625" style="121"/>
    <col min="14592" max="14592" width="110.33203125" style="121" customWidth="1"/>
    <col min="14593" max="14593" width="43.5" style="121" customWidth="1"/>
    <col min="14594" max="14594" width="35.5" style="121" customWidth="1"/>
    <col min="14595" max="14595" width="36" style="121" customWidth="1"/>
    <col min="14596" max="14596" width="34.83203125" style="121" customWidth="1"/>
    <col min="14597" max="14847" width="9.1640625" style="121"/>
    <col min="14848" max="14848" width="110.33203125" style="121" customWidth="1"/>
    <col min="14849" max="14849" width="43.5" style="121" customWidth="1"/>
    <col min="14850" max="14850" width="35.5" style="121" customWidth="1"/>
    <col min="14851" max="14851" width="36" style="121" customWidth="1"/>
    <col min="14852" max="14852" width="34.83203125" style="121" customWidth="1"/>
    <col min="14853" max="15103" width="9.1640625" style="121"/>
    <col min="15104" max="15104" width="110.33203125" style="121" customWidth="1"/>
    <col min="15105" max="15105" width="43.5" style="121" customWidth="1"/>
    <col min="15106" max="15106" width="35.5" style="121" customWidth="1"/>
    <col min="15107" max="15107" width="36" style="121" customWidth="1"/>
    <col min="15108" max="15108" width="34.83203125" style="121" customWidth="1"/>
    <col min="15109" max="15359" width="9.1640625" style="121"/>
    <col min="15360" max="15360" width="110.33203125" style="121" customWidth="1"/>
    <col min="15361" max="15361" width="43.5" style="121" customWidth="1"/>
    <col min="15362" max="15362" width="35.5" style="121" customWidth="1"/>
    <col min="15363" max="15363" width="36" style="121" customWidth="1"/>
    <col min="15364" max="15364" width="34.83203125" style="121" customWidth="1"/>
    <col min="15365" max="15615" width="9.1640625" style="121"/>
    <col min="15616" max="15616" width="110.33203125" style="121" customWidth="1"/>
    <col min="15617" max="15617" width="43.5" style="121" customWidth="1"/>
    <col min="15618" max="15618" width="35.5" style="121" customWidth="1"/>
    <col min="15619" max="15619" width="36" style="121" customWidth="1"/>
    <col min="15620" max="15620" width="34.83203125" style="121" customWidth="1"/>
    <col min="15621" max="15871" width="9.1640625" style="121"/>
    <col min="15872" max="15872" width="110.33203125" style="121" customWidth="1"/>
    <col min="15873" max="15873" width="43.5" style="121" customWidth="1"/>
    <col min="15874" max="15874" width="35.5" style="121" customWidth="1"/>
    <col min="15875" max="15875" width="36" style="121" customWidth="1"/>
    <col min="15876" max="15876" width="34.83203125" style="121" customWidth="1"/>
    <col min="15877" max="16127" width="9.1640625" style="121"/>
    <col min="16128" max="16128" width="110.33203125" style="121" customWidth="1"/>
    <col min="16129" max="16129" width="43.5" style="121" customWidth="1"/>
    <col min="16130" max="16130" width="35.5" style="121" customWidth="1"/>
    <col min="16131" max="16131" width="36" style="121" customWidth="1"/>
    <col min="16132" max="16132" width="34.83203125" style="121" customWidth="1"/>
    <col min="16133" max="16384" width="9.1640625" style="121"/>
  </cols>
  <sheetData>
    <row r="2" spans="2:4">
      <c r="B2" s="1057" t="str">
        <f>Index!B2</f>
        <v>Jaigad Power Transco Ltd</v>
      </c>
      <c r="C2" s="1057"/>
      <c r="D2" s="1057"/>
    </row>
    <row r="3" spans="2:4">
      <c r="B3" s="1184" t="s">
        <v>435</v>
      </c>
      <c r="C3" s="1184"/>
      <c r="D3" s="1184"/>
    </row>
    <row r="4" spans="2:4">
      <c r="B4" s="1184" t="s">
        <v>690</v>
      </c>
      <c r="C4" s="1184"/>
      <c r="D4" s="1184"/>
    </row>
    <row r="5" spans="2:4">
      <c r="B5" s="135"/>
      <c r="C5" s="51"/>
      <c r="D5" s="251" t="s">
        <v>33</v>
      </c>
    </row>
    <row r="6" spans="2:4" s="254" customFormat="1" ht="61.5" customHeight="1">
      <c r="B6" s="252" t="s">
        <v>4</v>
      </c>
      <c r="C6" s="253" t="s">
        <v>437</v>
      </c>
      <c r="D6" s="253" t="s">
        <v>438</v>
      </c>
    </row>
    <row r="7" spans="2:4" ht="16">
      <c r="B7" s="255" t="s">
        <v>374</v>
      </c>
      <c r="C7" s="128"/>
      <c r="D7" s="128"/>
    </row>
    <row r="8" spans="2:4" ht="16">
      <c r="B8" s="256" t="s">
        <v>375</v>
      </c>
      <c r="C8" s="129"/>
      <c r="D8" s="129"/>
    </row>
    <row r="9" spans="2:4" ht="16">
      <c r="B9" s="256" t="s">
        <v>376</v>
      </c>
      <c r="C9" s="129"/>
      <c r="D9" s="129"/>
    </row>
    <row r="10" spans="2:4" ht="16">
      <c r="B10" s="256" t="s">
        <v>244</v>
      </c>
      <c r="C10" s="129"/>
      <c r="D10" s="129"/>
    </row>
    <row r="11" spans="2:4" ht="16">
      <c r="B11" s="257" t="s">
        <v>377</v>
      </c>
      <c r="C11" s="129"/>
      <c r="D11" s="129"/>
    </row>
    <row r="12" spans="2:4">
      <c r="B12" s="256"/>
      <c r="C12" s="128"/>
      <c r="D12" s="128"/>
    </row>
    <row r="13" spans="2:4" ht="16">
      <c r="B13" s="255" t="s">
        <v>378</v>
      </c>
      <c r="C13" s="128"/>
      <c r="D13" s="128"/>
    </row>
    <row r="14" spans="2:4" ht="16">
      <c r="B14" s="256" t="s">
        <v>375</v>
      </c>
      <c r="C14" s="129"/>
      <c r="D14" s="129"/>
    </row>
    <row r="15" spans="2:4" ht="16">
      <c r="B15" s="256" t="s">
        <v>376</v>
      </c>
      <c r="C15" s="129"/>
      <c r="D15" s="129"/>
    </row>
    <row r="16" spans="2:4" ht="16">
      <c r="B16" s="256" t="s">
        <v>244</v>
      </c>
      <c r="C16" s="129"/>
      <c r="D16" s="129"/>
    </row>
    <row r="17" spans="2:4" ht="16">
      <c r="B17" s="257" t="s">
        <v>379</v>
      </c>
      <c r="C17" s="129"/>
      <c r="D17" s="129"/>
    </row>
    <row r="18" spans="2:4">
      <c r="B18" s="256"/>
      <c r="C18" s="128"/>
      <c r="D18" s="128"/>
    </row>
    <row r="19" spans="2:4" ht="16">
      <c r="B19" s="257" t="s">
        <v>380</v>
      </c>
      <c r="C19" s="128"/>
      <c r="D19" s="128"/>
    </row>
    <row r="21" spans="2:4">
      <c r="B21" s="73" t="s">
        <v>712</v>
      </c>
    </row>
  </sheetData>
  <mergeCells count="3">
    <mergeCell ref="B2:D2"/>
    <mergeCell ref="B3:D3"/>
    <mergeCell ref="B4:D4"/>
  </mergeCells>
  <printOptions horizontalCentered="1"/>
  <pageMargins left="1.14173228346457" right="0.35433070866141703" top="1.0629921259842501" bottom="0.98425196850393704" header="0.31496062992126" footer="0.31496062992126"/>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M37"/>
  <sheetViews>
    <sheetView showGridLines="0" view="pageBreakPreview" zoomScale="60" zoomScaleNormal="60" workbookViewId="0">
      <selection activeCell="C6" sqref="C6:C9"/>
    </sheetView>
  </sheetViews>
  <sheetFormatPr baseColWidth="10" defaultColWidth="9.1640625" defaultRowHeight="15"/>
  <cols>
    <col min="1" max="1" width="14.5" style="73" customWidth="1"/>
    <col min="2" max="2" width="14.5" style="209" customWidth="1"/>
    <col min="3" max="3" width="58.1640625" style="250" customWidth="1"/>
    <col min="4" max="6" width="15.33203125" style="73" customWidth="1"/>
    <col min="7" max="7" width="24.1640625" style="73" customWidth="1"/>
    <col min="8" max="8" width="15.33203125" style="73" customWidth="1"/>
    <col min="9" max="9" width="16.1640625" style="73" customWidth="1"/>
    <col min="10" max="10" width="15.33203125" style="73" customWidth="1"/>
    <col min="11" max="11" width="18.83203125" style="211" customWidth="1"/>
    <col min="12" max="12" width="15.33203125" style="119" customWidth="1"/>
    <col min="13" max="13" width="19.5" style="212" customWidth="1"/>
    <col min="14" max="250" width="9.1640625" style="73"/>
    <col min="251" max="252" width="14.5" style="73" customWidth="1"/>
    <col min="253" max="253" width="58.1640625" style="73" customWidth="1"/>
    <col min="254" max="254" width="30.5" style="73" customWidth="1"/>
    <col min="255" max="255" width="27.33203125" style="73" customWidth="1"/>
    <col min="256" max="256" width="30.83203125" style="73" customWidth="1"/>
    <col min="257" max="257" width="24.83203125" style="73" customWidth="1"/>
    <col min="258" max="258" width="27.33203125" style="73" customWidth="1"/>
    <col min="259" max="259" width="32" style="73" customWidth="1"/>
    <col min="260" max="260" width="25.5" style="73" customWidth="1"/>
    <col min="261" max="261" width="27.33203125" style="73" customWidth="1"/>
    <col min="262" max="262" width="31.5" style="73" customWidth="1"/>
    <col min="263" max="263" width="30.5" style="73" customWidth="1"/>
    <col min="264" max="264" width="27.33203125" style="73" customWidth="1"/>
    <col min="265" max="265" width="32.5" style="73" customWidth="1"/>
    <col min="266" max="266" width="30.5" style="73" customWidth="1"/>
    <col min="267" max="267" width="24.33203125" style="73" customWidth="1"/>
    <col min="268" max="268" width="28" style="73" customWidth="1"/>
    <col min="269" max="269" width="19.5" style="73" customWidth="1"/>
    <col min="270" max="506" width="9.1640625" style="73"/>
    <col min="507" max="508" width="14.5" style="73" customWidth="1"/>
    <col min="509" max="509" width="58.1640625" style="73" customWidth="1"/>
    <col min="510" max="510" width="30.5" style="73" customWidth="1"/>
    <col min="511" max="511" width="27.33203125" style="73" customWidth="1"/>
    <col min="512" max="512" width="30.83203125" style="73" customWidth="1"/>
    <col min="513" max="513" width="24.83203125" style="73" customWidth="1"/>
    <col min="514" max="514" width="27.33203125" style="73" customWidth="1"/>
    <col min="515" max="515" width="32" style="73" customWidth="1"/>
    <col min="516" max="516" width="25.5" style="73" customWidth="1"/>
    <col min="517" max="517" width="27.33203125" style="73" customWidth="1"/>
    <col min="518" max="518" width="31.5" style="73" customWidth="1"/>
    <col min="519" max="519" width="30.5" style="73" customWidth="1"/>
    <col min="520" max="520" width="27.33203125" style="73" customWidth="1"/>
    <col min="521" max="521" width="32.5" style="73" customWidth="1"/>
    <col min="522" max="522" width="30.5" style="73" customWidth="1"/>
    <col min="523" max="523" width="24.33203125" style="73" customWidth="1"/>
    <col min="524" max="524" width="28" style="73" customWidth="1"/>
    <col min="525" max="525" width="19.5" style="73" customWidth="1"/>
    <col min="526" max="762" width="9.1640625" style="73"/>
    <col min="763" max="764" width="14.5" style="73" customWidth="1"/>
    <col min="765" max="765" width="58.1640625" style="73" customWidth="1"/>
    <col min="766" max="766" width="30.5" style="73" customWidth="1"/>
    <col min="767" max="767" width="27.33203125" style="73" customWidth="1"/>
    <col min="768" max="768" width="30.83203125" style="73" customWidth="1"/>
    <col min="769" max="769" width="24.83203125" style="73" customWidth="1"/>
    <col min="770" max="770" width="27.33203125" style="73" customWidth="1"/>
    <col min="771" max="771" width="32" style="73" customWidth="1"/>
    <col min="772" max="772" width="25.5" style="73" customWidth="1"/>
    <col min="773" max="773" width="27.33203125" style="73" customWidth="1"/>
    <col min="774" max="774" width="31.5" style="73" customWidth="1"/>
    <col min="775" max="775" width="30.5" style="73" customWidth="1"/>
    <col min="776" max="776" width="27.33203125" style="73" customWidth="1"/>
    <col min="777" max="777" width="32.5" style="73" customWidth="1"/>
    <col min="778" max="778" width="30.5" style="73" customWidth="1"/>
    <col min="779" max="779" width="24.33203125" style="73" customWidth="1"/>
    <col min="780" max="780" width="28" style="73" customWidth="1"/>
    <col min="781" max="781" width="19.5" style="73" customWidth="1"/>
    <col min="782" max="1018" width="9.1640625" style="73"/>
    <col min="1019" max="1020" width="14.5" style="73" customWidth="1"/>
    <col min="1021" max="1021" width="58.1640625" style="73" customWidth="1"/>
    <col min="1022" max="1022" width="30.5" style="73" customWidth="1"/>
    <col min="1023" max="1023" width="27.33203125" style="73" customWidth="1"/>
    <col min="1024" max="1024" width="30.83203125" style="73" customWidth="1"/>
    <col min="1025" max="1025" width="24.83203125" style="73" customWidth="1"/>
    <col min="1026" max="1026" width="27.33203125" style="73" customWidth="1"/>
    <col min="1027" max="1027" width="32" style="73" customWidth="1"/>
    <col min="1028" max="1028" width="25.5" style="73" customWidth="1"/>
    <col min="1029" max="1029" width="27.33203125" style="73" customWidth="1"/>
    <col min="1030" max="1030" width="31.5" style="73" customWidth="1"/>
    <col min="1031" max="1031" width="30.5" style="73" customWidth="1"/>
    <col min="1032" max="1032" width="27.33203125" style="73" customWidth="1"/>
    <col min="1033" max="1033" width="32.5" style="73" customWidth="1"/>
    <col min="1034" max="1034" width="30.5" style="73" customWidth="1"/>
    <col min="1035" max="1035" width="24.33203125" style="73" customWidth="1"/>
    <col min="1036" max="1036" width="28" style="73" customWidth="1"/>
    <col min="1037" max="1037" width="19.5" style="73" customWidth="1"/>
    <col min="1038" max="1274" width="9.1640625" style="73"/>
    <col min="1275" max="1276" width="14.5" style="73" customWidth="1"/>
    <col min="1277" max="1277" width="58.1640625" style="73" customWidth="1"/>
    <col min="1278" max="1278" width="30.5" style="73" customWidth="1"/>
    <col min="1279" max="1279" width="27.33203125" style="73" customWidth="1"/>
    <col min="1280" max="1280" width="30.83203125" style="73" customWidth="1"/>
    <col min="1281" max="1281" width="24.83203125" style="73" customWidth="1"/>
    <col min="1282" max="1282" width="27.33203125" style="73" customWidth="1"/>
    <col min="1283" max="1283" width="32" style="73" customWidth="1"/>
    <col min="1284" max="1284" width="25.5" style="73" customWidth="1"/>
    <col min="1285" max="1285" width="27.33203125" style="73" customWidth="1"/>
    <col min="1286" max="1286" width="31.5" style="73" customWidth="1"/>
    <col min="1287" max="1287" width="30.5" style="73" customWidth="1"/>
    <col min="1288" max="1288" width="27.33203125" style="73" customWidth="1"/>
    <col min="1289" max="1289" width="32.5" style="73" customWidth="1"/>
    <col min="1290" max="1290" width="30.5" style="73" customWidth="1"/>
    <col min="1291" max="1291" width="24.33203125" style="73" customWidth="1"/>
    <col min="1292" max="1292" width="28" style="73" customWidth="1"/>
    <col min="1293" max="1293" width="19.5" style="73" customWidth="1"/>
    <col min="1294" max="1530" width="9.1640625" style="73"/>
    <col min="1531" max="1532" width="14.5" style="73" customWidth="1"/>
    <col min="1533" max="1533" width="58.1640625" style="73" customWidth="1"/>
    <col min="1534" max="1534" width="30.5" style="73" customWidth="1"/>
    <col min="1535" max="1535" width="27.33203125" style="73" customWidth="1"/>
    <col min="1536" max="1536" width="30.83203125" style="73" customWidth="1"/>
    <col min="1537" max="1537" width="24.83203125" style="73" customWidth="1"/>
    <col min="1538" max="1538" width="27.33203125" style="73" customWidth="1"/>
    <col min="1539" max="1539" width="32" style="73" customWidth="1"/>
    <col min="1540" max="1540" width="25.5" style="73" customWidth="1"/>
    <col min="1541" max="1541" width="27.33203125" style="73" customWidth="1"/>
    <col min="1542" max="1542" width="31.5" style="73" customWidth="1"/>
    <col min="1543" max="1543" width="30.5" style="73" customWidth="1"/>
    <col min="1544" max="1544" width="27.33203125" style="73" customWidth="1"/>
    <col min="1545" max="1545" width="32.5" style="73" customWidth="1"/>
    <col min="1546" max="1546" width="30.5" style="73" customWidth="1"/>
    <col min="1547" max="1547" width="24.33203125" style="73" customWidth="1"/>
    <col min="1548" max="1548" width="28" style="73" customWidth="1"/>
    <col min="1549" max="1549" width="19.5" style="73" customWidth="1"/>
    <col min="1550" max="1786" width="9.1640625" style="73"/>
    <col min="1787" max="1788" width="14.5" style="73" customWidth="1"/>
    <col min="1789" max="1789" width="58.1640625" style="73" customWidth="1"/>
    <col min="1790" max="1790" width="30.5" style="73" customWidth="1"/>
    <col min="1791" max="1791" width="27.33203125" style="73" customWidth="1"/>
    <col min="1792" max="1792" width="30.83203125" style="73" customWidth="1"/>
    <col min="1793" max="1793" width="24.83203125" style="73" customWidth="1"/>
    <col min="1794" max="1794" width="27.33203125" style="73" customWidth="1"/>
    <col min="1795" max="1795" width="32" style="73" customWidth="1"/>
    <col min="1796" max="1796" width="25.5" style="73" customWidth="1"/>
    <col min="1797" max="1797" width="27.33203125" style="73" customWidth="1"/>
    <col min="1798" max="1798" width="31.5" style="73" customWidth="1"/>
    <col min="1799" max="1799" width="30.5" style="73" customWidth="1"/>
    <col min="1800" max="1800" width="27.33203125" style="73" customWidth="1"/>
    <col min="1801" max="1801" width="32.5" style="73" customWidth="1"/>
    <col min="1802" max="1802" width="30.5" style="73" customWidth="1"/>
    <col min="1803" max="1803" width="24.33203125" style="73" customWidth="1"/>
    <col min="1804" max="1804" width="28" style="73" customWidth="1"/>
    <col min="1805" max="1805" width="19.5" style="73" customWidth="1"/>
    <col min="1806" max="2042" width="9.1640625" style="73"/>
    <col min="2043" max="2044" width="14.5" style="73" customWidth="1"/>
    <col min="2045" max="2045" width="58.1640625" style="73" customWidth="1"/>
    <col min="2046" max="2046" width="30.5" style="73" customWidth="1"/>
    <col min="2047" max="2047" width="27.33203125" style="73" customWidth="1"/>
    <col min="2048" max="2048" width="30.83203125" style="73" customWidth="1"/>
    <col min="2049" max="2049" width="24.83203125" style="73" customWidth="1"/>
    <col min="2050" max="2050" width="27.33203125" style="73" customWidth="1"/>
    <col min="2051" max="2051" width="32" style="73" customWidth="1"/>
    <col min="2052" max="2052" width="25.5" style="73" customWidth="1"/>
    <col min="2053" max="2053" width="27.33203125" style="73" customWidth="1"/>
    <col min="2054" max="2054" width="31.5" style="73" customWidth="1"/>
    <col min="2055" max="2055" width="30.5" style="73" customWidth="1"/>
    <col min="2056" max="2056" width="27.33203125" style="73" customWidth="1"/>
    <col min="2057" max="2057" width="32.5" style="73" customWidth="1"/>
    <col min="2058" max="2058" width="30.5" style="73" customWidth="1"/>
    <col min="2059" max="2059" width="24.33203125" style="73" customWidth="1"/>
    <col min="2060" max="2060" width="28" style="73" customWidth="1"/>
    <col min="2061" max="2061" width="19.5" style="73" customWidth="1"/>
    <col min="2062" max="2298" width="9.1640625" style="73"/>
    <col min="2299" max="2300" width="14.5" style="73" customWidth="1"/>
    <col min="2301" max="2301" width="58.1640625" style="73" customWidth="1"/>
    <col min="2302" max="2302" width="30.5" style="73" customWidth="1"/>
    <col min="2303" max="2303" width="27.33203125" style="73" customWidth="1"/>
    <col min="2304" max="2304" width="30.83203125" style="73" customWidth="1"/>
    <col min="2305" max="2305" width="24.83203125" style="73" customWidth="1"/>
    <col min="2306" max="2306" width="27.33203125" style="73" customWidth="1"/>
    <col min="2307" max="2307" width="32" style="73" customWidth="1"/>
    <col min="2308" max="2308" width="25.5" style="73" customWidth="1"/>
    <col min="2309" max="2309" width="27.33203125" style="73" customWidth="1"/>
    <col min="2310" max="2310" width="31.5" style="73" customWidth="1"/>
    <col min="2311" max="2311" width="30.5" style="73" customWidth="1"/>
    <col min="2312" max="2312" width="27.33203125" style="73" customWidth="1"/>
    <col min="2313" max="2313" width="32.5" style="73" customWidth="1"/>
    <col min="2314" max="2314" width="30.5" style="73" customWidth="1"/>
    <col min="2315" max="2315" width="24.33203125" style="73" customWidth="1"/>
    <col min="2316" max="2316" width="28" style="73" customWidth="1"/>
    <col min="2317" max="2317" width="19.5" style="73" customWidth="1"/>
    <col min="2318" max="2554" width="9.1640625" style="73"/>
    <col min="2555" max="2556" width="14.5" style="73" customWidth="1"/>
    <col min="2557" max="2557" width="58.1640625" style="73" customWidth="1"/>
    <col min="2558" max="2558" width="30.5" style="73" customWidth="1"/>
    <col min="2559" max="2559" width="27.33203125" style="73" customWidth="1"/>
    <col min="2560" max="2560" width="30.83203125" style="73" customWidth="1"/>
    <col min="2561" max="2561" width="24.83203125" style="73" customWidth="1"/>
    <col min="2562" max="2562" width="27.33203125" style="73" customWidth="1"/>
    <col min="2563" max="2563" width="32" style="73" customWidth="1"/>
    <col min="2564" max="2564" width="25.5" style="73" customWidth="1"/>
    <col min="2565" max="2565" width="27.33203125" style="73" customWidth="1"/>
    <col min="2566" max="2566" width="31.5" style="73" customWidth="1"/>
    <col min="2567" max="2567" width="30.5" style="73" customWidth="1"/>
    <col min="2568" max="2568" width="27.33203125" style="73" customWidth="1"/>
    <col min="2569" max="2569" width="32.5" style="73" customWidth="1"/>
    <col min="2570" max="2570" width="30.5" style="73" customWidth="1"/>
    <col min="2571" max="2571" width="24.33203125" style="73" customWidth="1"/>
    <col min="2572" max="2572" width="28" style="73" customWidth="1"/>
    <col min="2573" max="2573" width="19.5" style="73" customWidth="1"/>
    <col min="2574" max="2810" width="9.1640625" style="73"/>
    <col min="2811" max="2812" width="14.5" style="73" customWidth="1"/>
    <col min="2813" max="2813" width="58.1640625" style="73" customWidth="1"/>
    <col min="2814" max="2814" width="30.5" style="73" customWidth="1"/>
    <col min="2815" max="2815" width="27.33203125" style="73" customWidth="1"/>
    <col min="2816" max="2816" width="30.83203125" style="73" customWidth="1"/>
    <col min="2817" max="2817" width="24.83203125" style="73" customWidth="1"/>
    <col min="2818" max="2818" width="27.33203125" style="73" customWidth="1"/>
    <col min="2819" max="2819" width="32" style="73" customWidth="1"/>
    <col min="2820" max="2820" width="25.5" style="73" customWidth="1"/>
    <col min="2821" max="2821" width="27.33203125" style="73" customWidth="1"/>
    <col min="2822" max="2822" width="31.5" style="73" customWidth="1"/>
    <col min="2823" max="2823" width="30.5" style="73" customWidth="1"/>
    <col min="2824" max="2824" width="27.33203125" style="73" customWidth="1"/>
    <col min="2825" max="2825" width="32.5" style="73" customWidth="1"/>
    <col min="2826" max="2826" width="30.5" style="73" customWidth="1"/>
    <col min="2827" max="2827" width="24.33203125" style="73" customWidth="1"/>
    <col min="2828" max="2828" width="28" style="73" customWidth="1"/>
    <col min="2829" max="2829" width="19.5" style="73" customWidth="1"/>
    <col min="2830" max="3066" width="9.1640625" style="73"/>
    <col min="3067" max="3068" width="14.5" style="73" customWidth="1"/>
    <col min="3069" max="3069" width="58.1640625" style="73" customWidth="1"/>
    <col min="3070" max="3070" width="30.5" style="73" customWidth="1"/>
    <col min="3071" max="3071" width="27.33203125" style="73" customWidth="1"/>
    <col min="3072" max="3072" width="30.83203125" style="73" customWidth="1"/>
    <col min="3073" max="3073" width="24.83203125" style="73" customWidth="1"/>
    <col min="3074" max="3074" width="27.33203125" style="73" customWidth="1"/>
    <col min="3075" max="3075" width="32" style="73" customWidth="1"/>
    <col min="3076" max="3076" width="25.5" style="73" customWidth="1"/>
    <col min="3077" max="3077" width="27.33203125" style="73" customWidth="1"/>
    <col min="3078" max="3078" width="31.5" style="73" customWidth="1"/>
    <col min="3079" max="3079" width="30.5" style="73" customWidth="1"/>
    <col min="3080" max="3080" width="27.33203125" style="73" customWidth="1"/>
    <col min="3081" max="3081" width="32.5" style="73" customWidth="1"/>
    <col min="3082" max="3082" width="30.5" style="73" customWidth="1"/>
    <col min="3083" max="3083" width="24.33203125" style="73" customWidth="1"/>
    <col min="3084" max="3084" width="28" style="73" customWidth="1"/>
    <col min="3085" max="3085" width="19.5" style="73" customWidth="1"/>
    <col min="3086" max="3322" width="9.1640625" style="73"/>
    <col min="3323" max="3324" width="14.5" style="73" customWidth="1"/>
    <col min="3325" max="3325" width="58.1640625" style="73" customWidth="1"/>
    <col min="3326" max="3326" width="30.5" style="73" customWidth="1"/>
    <col min="3327" max="3327" width="27.33203125" style="73" customWidth="1"/>
    <col min="3328" max="3328" width="30.83203125" style="73" customWidth="1"/>
    <col min="3329" max="3329" width="24.83203125" style="73" customWidth="1"/>
    <col min="3330" max="3330" width="27.33203125" style="73" customWidth="1"/>
    <col min="3331" max="3331" width="32" style="73" customWidth="1"/>
    <col min="3332" max="3332" width="25.5" style="73" customWidth="1"/>
    <col min="3333" max="3333" width="27.33203125" style="73" customWidth="1"/>
    <col min="3334" max="3334" width="31.5" style="73" customWidth="1"/>
    <col min="3335" max="3335" width="30.5" style="73" customWidth="1"/>
    <col min="3336" max="3336" width="27.33203125" style="73" customWidth="1"/>
    <col min="3337" max="3337" width="32.5" style="73" customWidth="1"/>
    <col min="3338" max="3338" width="30.5" style="73" customWidth="1"/>
    <col min="3339" max="3339" width="24.33203125" style="73" customWidth="1"/>
    <col min="3340" max="3340" width="28" style="73" customWidth="1"/>
    <col min="3341" max="3341" width="19.5" style="73" customWidth="1"/>
    <col min="3342" max="3578" width="9.1640625" style="73"/>
    <col min="3579" max="3580" width="14.5" style="73" customWidth="1"/>
    <col min="3581" max="3581" width="58.1640625" style="73" customWidth="1"/>
    <col min="3582" max="3582" width="30.5" style="73" customWidth="1"/>
    <col min="3583" max="3583" width="27.33203125" style="73" customWidth="1"/>
    <col min="3584" max="3584" width="30.83203125" style="73" customWidth="1"/>
    <col min="3585" max="3585" width="24.83203125" style="73" customWidth="1"/>
    <col min="3586" max="3586" width="27.33203125" style="73" customWidth="1"/>
    <col min="3587" max="3587" width="32" style="73" customWidth="1"/>
    <col min="3588" max="3588" width="25.5" style="73" customWidth="1"/>
    <col min="3589" max="3589" width="27.33203125" style="73" customWidth="1"/>
    <col min="3590" max="3590" width="31.5" style="73" customWidth="1"/>
    <col min="3591" max="3591" width="30.5" style="73" customWidth="1"/>
    <col min="3592" max="3592" width="27.33203125" style="73" customWidth="1"/>
    <col min="3593" max="3593" width="32.5" style="73" customWidth="1"/>
    <col min="3594" max="3594" width="30.5" style="73" customWidth="1"/>
    <col min="3595" max="3595" width="24.33203125" style="73" customWidth="1"/>
    <col min="3596" max="3596" width="28" style="73" customWidth="1"/>
    <col min="3597" max="3597" width="19.5" style="73" customWidth="1"/>
    <col min="3598" max="3834" width="9.1640625" style="73"/>
    <col min="3835" max="3836" width="14.5" style="73" customWidth="1"/>
    <col min="3837" max="3837" width="58.1640625" style="73" customWidth="1"/>
    <col min="3838" max="3838" width="30.5" style="73" customWidth="1"/>
    <col min="3839" max="3839" width="27.33203125" style="73" customWidth="1"/>
    <col min="3840" max="3840" width="30.83203125" style="73" customWidth="1"/>
    <col min="3841" max="3841" width="24.83203125" style="73" customWidth="1"/>
    <col min="3842" max="3842" width="27.33203125" style="73" customWidth="1"/>
    <col min="3843" max="3843" width="32" style="73" customWidth="1"/>
    <col min="3844" max="3844" width="25.5" style="73" customWidth="1"/>
    <col min="3845" max="3845" width="27.33203125" style="73" customWidth="1"/>
    <col min="3846" max="3846" width="31.5" style="73" customWidth="1"/>
    <col min="3847" max="3847" width="30.5" style="73" customWidth="1"/>
    <col min="3848" max="3848" width="27.33203125" style="73" customWidth="1"/>
    <col min="3849" max="3849" width="32.5" style="73" customWidth="1"/>
    <col min="3850" max="3850" width="30.5" style="73" customWidth="1"/>
    <col min="3851" max="3851" width="24.33203125" style="73" customWidth="1"/>
    <col min="3852" max="3852" width="28" style="73" customWidth="1"/>
    <col min="3853" max="3853" width="19.5" style="73" customWidth="1"/>
    <col min="3854" max="4090" width="9.1640625" style="73"/>
    <col min="4091" max="4092" width="14.5" style="73" customWidth="1"/>
    <col min="4093" max="4093" width="58.1640625" style="73" customWidth="1"/>
    <col min="4094" max="4094" width="30.5" style="73" customWidth="1"/>
    <col min="4095" max="4095" width="27.33203125" style="73" customWidth="1"/>
    <col min="4096" max="4096" width="30.83203125" style="73" customWidth="1"/>
    <col min="4097" max="4097" width="24.83203125" style="73" customWidth="1"/>
    <col min="4098" max="4098" width="27.33203125" style="73" customWidth="1"/>
    <col min="4099" max="4099" width="32" style="73" customWidth="1"/>
    <col min="4100" max="4100" width="25.5" style="73" customWidth="1"/>
    <col min="4101" max="4101" width="27.33203125" style="73" customWidth="1"/>
    <col min="4102" max="4102" width="31.5" style="73" customWidth="1"/>
    <col min="4103" max="4103" width="30.5" style="73" customWidth="1"/>
    <col min="4104" max="4104" width="27.33203125" style="73" customWidth="1"/>
    <col min="4105" max="4105" width="32.5" style="73" customWidth="1"/>
    <col min="4106" max="4106" width="30.5" style="73" customWidth="1"/>
    <col min="4107" max="4107" width="24.33203125" style="73" customWidth="1"/>
    <col min="4108" max="4108" width="28" style="73" customWidth="1"/>
    <col min="4109" max="4109" width="19.5" style="73" customWidth="1"/>
    <col min="4110" max="4346" width="9.1640625" style="73"/>
    <col min="4347" max="4348" width="14.5" style="73" customWidth="1"/>
    <col min="4349" max="4349" width="58.1640625" style="73" customWidth="1"/>
    <col min="4350" max="4350" width="30.5" style="73" customWidth="1"/>
    <col min="4351" max="4351" width="27.33203125" style="73" customWidth="1"/>
    <col min="4352" max="4352" width="30.83203125" style="73" customWidth="1"/>
    <col min="4353" max="4353" width="24.83203125" style="73" customWidth="1"/>
    <col min="4354" max="4354" width="27.33203125" style="73" customWidth="1"/>
    <col min="4355" max="4355" width="32" style="73" customWidth="1"/>
    <col min="4356" max="4356" width="25.5" style="73" customWidth="1"/>
    <col min="4357" max="4357" width="27.33203125" style="73" customWidth="1"/>
    <col min="4358" max="4358" width="31.5" style="73" customWidth="1"/>
    <col min="4359" max="4359" width="30.5" style="73" customWidth="1"/>
    <col min="4360" max="4360" width="27.33203125" style="73" customWidth="1"/>
    <col min="4361" max="4361" width="32.5" style="73" customWidth="1"/>
    <col min="4362" max="4362" width="30.5" style="73" customWidth="1"/>
    <col min="4363" max="4363" width="24.33203125" style="73" customWidth="1"/>
    <col min="4364" max="4364" width="28" style="73" customWidth="1"/>
    <col min="4365" max="4365" width="19.5" style="73" customWidth="1"/>
    <col min="4366" max="4602" width="9.1640625" style="73"/>
    <col min="4603" max="4604" width="14.5" style="73" customWidth="1"/>
    <col min="4605" max="4605" width="58.1640625" style="73" customWidth="1"/>
    <col min="4606" max="4606" width="30.5" style="73" customWidth="1"/>
    <col min="4607" max="4607" width="27.33203125" style="73" customWidth="1"/>
    <col min="4608" max="4608" width="30.83203125" style="73" customWidth="1"/>
    <col min="4609" max="4609" width="24.83203125" style="73" customWidth="1"/>
    <col min="4610" max="4610" width="27.33203125" style="73" customWidth="1"/>
    <col min="4611" max="4611" width="32" style="73" customWidth="1"/>
    <col min="4612" max="4612" width="25.5" style="73" customWidth="1"/>
    <col min="4613" max="4613" width="27.33203125" style="73" customWidth="1"/>
    <col min="4614" max="4614" width="31.5" style="73" customWidth="1"/>
    <col min="4615" max="4615" width="30.5" style="73" customWidth="1"/>
    <col min="4616" max="4616" width="27.33203125" style="73" customWidth="1"/>
    <col min="4617" max="4617" width="32.5" style="73" customWidth="1"/>
    <col min="4618" max="4618" width="30.5" style="73" customWidth="1"/>
    <col min="4619" max="4619" width="24.33203125" style="73" customWidth="1"/>
    <col min="4620" max="4620" width="28" style="73" customWidth="1"/>
    <col min="4621" max="4621" width="19.5" style="73" customWidth="1"/>
    <col min="4622" max="4858" width="9.1640625" style="73"/>
    <col min="4859" max="4860" width="14.5" style="73" customWidth="1"/>
    <col min="4861" max="4861" width="58.1640625" style="73" customWidth="1"/>
    <col min="4862" max="4862" width="30.5" style="73" customWidth="1"/>
    <col min="4863" max="4863" width="27.33203125" style="73" customWidth="1"/>
    <col min="4864" max="4864" width="30.83203125" style="73" customWidth="1"/>
    <col min="4865" max="4865" width="24.83203125" style="73" customWidth="1"/>
    <col min="4866" max="4866" width="27.33203125" style="73" customWidth="1"/>
    <col min="4867" max="4867" width="32" style="73" customWidth="1"/>
    <col min="4868" max="4868" width="25.5" style="73" customWidth="1"/>
    <col min="4869" max="4869" width="27.33203125" style="73" customWidth="1"/>
    <col min="4870" max="4870" width="31.5" style="73" customWidth="1"/>
    <col min="4871" max="4871" width="30.5" style="73" customWidth="1"/>
    <col min="4872" max="4872" width="27.33203125" style="73" customWidth="1"/>
    <col min="4873" max="4873" width="32.5" style="73" customWidth="1"/>
    <col min="4874" max="4874" width="30.5" style="73" customWidth="1"/>
    <col min="4875" max="4875" width="24.33203125" style="73" customWidth="1"/>
    <col min="4876" max="4876" width="28" style="73" customWidth="1"/>
    <col min="4877" max="4877" width="19.5" style="73" customWidth="1"/>
    <col min="4878" max="5114" width="9.1640625" style="73"/>
    <col min="5115" max="5116" width="14.5" style="73" customWidth="1"/>
    <col min="5117" max="5117" width="58.1640625" style="73" customWidth="1"/>
    <col min="5118" max="5118" width="30.5" style="73" customWidth="1"/>
    <col min="5119" max="5119" width="27.33203125" style="73" customWidth="1"/>
    <col min="5120" max="5120" width="30.83203125" style="73" customWidth="1"/>
    <col min="5121" max="5121" width="24.83203125" style="73" customWidth="1"/>
    <col min="5122" max="5122" width="27.33203125" style="73" customWidth="1"/>
    <col min="5123" max="5123" width="32" style="73" customWidth="1"/>
    <col min="5124" max="5124" width="25.5" style="73" customWidth="1"/>
    <col min="5125" max="5125" width="27.33203125" style="73" customWidth="1"/>
    <col min="5126" max="5126" width="31.5" style="73" customWidth="1"/>
    <col min="5127" max="5127" width="30.5" style="73" customWidth="1"/>
    <col min="5128" max="5128" width="27.33203125" style="73" customWidth="1"/>
    <col min="5129" max="5129" width="32.5" style="73" customWidth="1"/>
    <col min="5130" max="5130" width="30.5" style="73" customWidth="1"/>
    <col min="5131" max="5131" width="24.33203125" style="73" customWidth="1"/>
    <col min="5132" max="5132" width="28" style="73" customWidth="1"/>
    <col min="5133" max="5133" width="19.5" style="73" customWidth="1"/>
    <col min="5134" max="5370" width="9.1640625" style="73"/>
    <col min="5371" max="5372" width="14.5" style="73" customWidth="1"/>
    <col min="5373" max="5373" width="58.1640625" style="73" customWidth="1"/>
    <col min="5374" max="5374" width="30.5" style="73" customWidth="1"/>
    <col min="5375" max="5375" width="27.33203125" style="73" customWidth="1"/>
    <col min="5376" max="5376" width="30.83203125" style="73" customWidth="1"/>
    <col min="5377" max="5377" width="24.83203125" style="73" customWidth="1"/>
    <col min="5378" max="5378" width="27.33203125" style="73" customWidth="1"/>
    <col min="5379" max="5379" width="32" style="73" customWidth="1"/>
    <col min="5380" max="5380" width="25.5" style="73" customWidth="1"/>
    <col min="5381" max="5381" width="27.33203125" style="73" customWidth="1"/>
    <col min="5382" max="5382" width="31.5" style="73" customWidth="1"/>
    <col min="5383" max="5383" width="30.5" style="73" customWidth="1"/>
    <col min="5384" max="5384" width="27.33203125" style="73" customWidth="1"/>
    <col min="5385" max="5385" width="32.5" style="73" customWidth="1"/>
    <col min="5386" max="5386" width="30.5" style="73" customWidth="1"/>
    <col min="5387" max="5387" width="24.33203125" style="73" customWidth="1"/>
    <col min="5388" max="5388" width="28" style="73" customWidth="1"/>
    <col min="5389" max="5389" width="19.5" style="73" customWidth="1"/>
    <col min="5390" max="5626" width="9.1640625" style="73"/>
    <col min="5627" max="5628" width="14.5" style="73" customWidth="1"/>
    <col min="5629" max="5629" width="58.1640625" style="73" customWidth="1"/>
    <col min="5630" max="5630" width="30.5" style="73" customWidth="1"/>
    <col min="5631" max="5631" width="27.33203125" style="73" customWidth="1"/>
    <col min="5632" max="5632" width="30.83203125" style="73" customWidth="1"/>
    <col min="5633" max="5633" width="24.83203125" style="73" customWidth="1"/>
    <col min="5634" max="5634" width="27.33203125" style="73" customWidth="1"/>
    <col min="5635" max="5635" width="32" style="73" customWidth="1"/>
    <col min="5636" max="5636" width="25.5" style="73" customWidth="1"/>
    <col min="5637" max="5637" width="27.33203125" style="73" customWidth="1"/>
    <col min="5638" max="5638" width="31.5" style="73" customWidth="1"/>
    <col min="5639" max="5639" width="30.5" style="73" customWidth="1"/>
    <col min="5640" max="5640" width="27.33203125" style="73" customWidth="1"/>
    <col min="5641" max="5641" width="32.5" style="73" customWidth="1"/>
    <col min="5642" max="5642" width="30.5" style="73" customWidth="1"/>
    <col min="5643" max="5643" width="24.33203125" style="73" customWidth="1"/>
    <col min="5644" max="5644" width="28" style="73" customWidth="1"/>
    <col min="5645" max="5645" width="19.5" style="73" customWidth="1"/>
    <col min="5646" max="5882" width="9.1640625" style="73"/>
    <col min="5883" max="5884" width="14.5" style="73" customWidth="1"/>
    <col min="5885" max="5885" width="58.1640625" style="73" customWidth="1"/>
    <col min="5886" max="5886" width="30.5" style="73" customWidth="1"/>
    <col min="5887" max="5887" width="27.33203125" style="73" customWidth="1"/>
    <col min="5888" max="5888" width="30.83203125" style="73" customWidth="1"/>
    <col min="5889" max="5889" width="24.83203125" style="73" customWidth="1"/>
    <col min="5890" max="5890" width="27.33203125" style="73" customWidth="1"/>
    <col min="5891" max="5891" width="32" style="73" customWidth="1"/>
    <col min="5892" max="5892" width="25.5" style="73" customWidth="1"/>
    <col min="5893" max="5893" width="27.33203125" style="73" customWidth="1"/>
    <col min="5894" max="5894" width="31.5" style="73" customWidth="1"/>
    <col min="5895" max="5895" width="30.5" style="73" customWidth="1"/>
    <col min="5896" max="5896" width="27.33203125" style="73" customWidth="1"/>
    <col min="5897" max="5897" width="32.5" style="73" customWidth="1"/>
    <col min="5898" max="5898" width="30.5" style="73" customWidth="1"/>
    <col min="5899" max="5899" width="24.33203125" style="73" customWidth="1"/>
    <col min="5900" max="5900" width="28" style="73" customWidth="1"/>
    <col min="5901" max="5901" width="19.5" style="73" customWidth="1"/>
    <col min="5902" max="6138" width="9.1640625" style="73"/>
    <col min="6139" max="6140" width="14.5" style="73" customWidth="1"/>
    <col min="6141" max="6141" width="58.1640625" style="73" customWidth="1"/>
    <col min="6142" max="6142" width="30.5" style="73" customWidth="1"/>
    <col min="6143" max="6143" width="27.33203125" style="73" customWidth="1"/>
    <col min="6144" max="6144" width="30.83203125" style="73" customWidth="1"/>
    <col min="6145" max="6145" width="24.83203125" style="73" customWidth="1"/>
    <col min="6146" max="6146" width="27.33203125" style="73" customWidth="1"/>
    <col min="6147" max="6147" width="32" style="73" customWidth="1"/>
    <col min="6148" max="6148" width="25.5" style="73" customWidth="1"/>
    <col min="6149" max="6149" width="27.33203125" style="73" customWidth="1"/>
    <col min="6150" max="6150" width="31.5" style="73" customWidth="1"/>
    <col min="6151" max="6151" width="30.5" style="73" customWidth="1"/>
    <col min="6152" max="6152" width="27.33203125" style="73" customWidth="1"/>
    <col min="6153" max="6153" width="32.5" style="73" customWidth="1"/>
    <col min="6154" max="6154" width="30.5" style="73" customWidth="1"/>
    <col min="6155" max="6155" width="24.33203125" style="73" customWidth="1"/>
    <col min="6156" max="6156" width="28" style="73" customWidth="1"/>
    <col min="6157" max="6157" width="19.5" style="73" customWidth="1"/>
    <col min="6158" max="6394" width="9.1640625" style="73"/>
    <col min="6395" max="6396" width="14.5" style="73" customWidth="1"/>
    <col min="6397" max="6397" width="58.1640625" style="73" customWidth="1"/>
    <col min="6398" max="6398" width="30.5" style="73" customWidth="1"/>
    <col min="6399" max="6399" width="27.33203125" style="73" customWidth="1"/>
    <col min="6400" max="6400" width="30.83203125" style="73" customWidth="1"/>
    <col min="6401" max="6401" width="24.83203125" style="73" customWidth="1"/>
    <col min="6402" max="6402" width="27.33203125" style="73" customWidth="1"/>
    <col min="6403" max="6403" width="32" style="73" customWidth="1"/>
    <col min="6404" max="6404" width="25.5" style="73" customWidth="1"/>
    <col min="6405" max="6405" width="27.33203125" style="73" customWidth="1"/>
    <col min="6406" max="6406" width="31.5" style="73" customWidth="1"/>
    <col min="6407" max="6407" width="30.5" style="73" customWidth="1"/>
    <col min="6408" max="6408" width="27.33203125" style="73" customWidth="1"/>
    <col min="6409" max="6409" width="32.5" style="73" customWidth="1"/>
    <col min="6410" max="6410" width="30.5" style="73" customWidth="1"/>
    <col min="6411" max="6411" width="24.33203125" style="73" customWidth="1"/>
    <col min="6412" max="6412" width="28" style="73" customWidth="1"/>
    <col min="6413" max="6413" width="19.5" style="73" customWidth="1"/>
    <col min="6414" max="6650" width="9.1640625" style="73"/>
    <col min="6651" max="6652" width="14.5" style="73" customWidth="1"/>
    <col min="6653" max="6653" width="58.1640625" style="73" customWidth="1"/>
    <col min="6654" max="6654" width="30.5" style="73" customWidth="1"/>
    <col min="6655" max="6655" width="27.33203125" style="73" customWidth="1"/>
    <col min="6656" max="6656" width="30.83203125" style="73" customWidth="1"/>
    <col min="6657" max="6657" width="24.83203125" style="73" customWidth="1"/>
    <col min="6658" max="6658" width="27.33203125" style="73" customWidth="1"/>
    <col min="6659" max="6659" width="32" style="73" customWidth="1"/>
    <col min="6660" max="6660" width="25.5" style="73" customWidth="1"/>
    <col min="6661" max="6661" width="27.33203125" style="73" customWidth="1"/>
    <col min="6662" max="6662" width="31.5" style="73" customWidth="1"/>
    <col min="6663" max="6663" width="30.5" style="73" customWidth="1"/>
    <col min="6664" max="6664" width="27.33203125" style="73" customWidth="1"/>
    <col min="6665" max="6665" width="32.5" style="73" customWidth="1"/>
    <col min="6666" max="6666" width="30.5" style="73" customWidth="1"/>
    <col min="6667" max="6667" width="24.33203125" style="73" customWidth="1"/>
    <col min="6668" max="6668" width="28" style="73" customWidth="1"/>
    <col min="6669" max="6669" width="19.5" style="73" customWidth="1"/>
    <col min="6670" max="6906" width="9.1640625" style="73"/>
    <col min="6907" max="6908" width="14.5" style="73" customWidth="1"/>
    <col min="6909" max="6909" width="58.1640625" style="73" customWidth="1"/>
    <col min="6910" max="6910" width="30.5" style="73" customWidth="1"/>
    <col min="6911" max="6911" width="27.33203125" style="73" customWidth="1"/>
    <col min="6912" max="6912" width="30.83203125" style="73" customWidth="1"/>
    <col min="6913" max="6913" width="24.83203125" style="73" customWidth="1"/>
    <col min="6914" max="6914" width="27.33203125" style="73" customWidth="1"/>
    <col min="6915" max="6915" width="32" style="73" customWidth="1"/>
    <col min="6916" max="6916" width="25.5" style="73" customWidth="1"/>
    <col min="6917" max="6917" width="27.33203125" style="73" customWidth="1"/>
    <col min="6918" max="6918" width="31.5" style="73" customWidth="1"/>
    <col min="6919" max="6919" width="30.5" style="73" customWidth="1"/>
    <col min="6920" max="6920" width="27.33203125" style="73" customWidth="1"/>
    <col min="6921" max="6921" width="32.5" style="73" customWidth="1"/>
    <col min="6922" max="6922" width="30.5" style="73" customWidth="1"/>
    <col min="6923" max="6923" width="24.33203125" style="73" customWidth="1"/>
    <col min="6924" max="6924" width="28" style="73" customWidth="1"/>
    <col min="6925" max="6925" width="19.5" style="73" customWidth="1"/>
    <col min="6926" max="7162" width="9.1640625" style="73"/>
    <col min="7163" max="7164" width="14.5" style="73" customWidth="1"/>
    <col min="7165" max="7165" width="58.1640625" style="73" customWidth="1"/>
    <col min="7166" max="7166" width="30.5" style="73" customWidth="1"/>
    <col min="7167" max="7167" width="27.33203125" style="73" customWidth="1"/>
    <col min="7168" max="7168" width="30.83203125" style="73" customWidth="1"/>
    <col min="7169" max="7169" width="24.83203125" style="73" customWidth="1"/>
    <col min="7170" max="7170" width="27.33203125" style="73" customWidth="1"/>
    <col min="7171" max="7171" width="32" style="73" customWidth="1"/>
    <col min="7172" max="7172" width="25.5" style="73" customWidth="1"/>
    <col min="7173" max="7173" width="27.33203125" style="73" customWidth="1"/>
    <col min="7174" max="7174" width="31.5" style="73" customWidth="1"/>
    <col min="7175" max="7175" width="30.5" style="73" customWidth="1"/>
    <col min="7176" max="7176" width="27.33203125" style="73" customWidth="1"/>
    <col min="7177" max="7177" width="32.5" style="73" customWidth="1"/>
    <col min="7178" max="7178" width="30.5" style="73" customWidth="1"/>
    <col min="7179" max="7179" width="24.33203125" style="73" customWidth="1"/>
    <col min="7180" max="7180" width="28" style="73" customWidth="1"/>
    <col min="7181" max="7181" width="19.5" style="73" customWidth="1"/>
    <col min="7182" max="7418" width="9.1640625" style="73"/>
    <col min="7419" max="7420" width="14.5" style="73" customWidth="1"/>
    <col min="7421" max="7421" width="58.1640625" style="73" customWidth="1"/>
    <col min="7422" max="7422" width="30.5" style="73" customWidth="1"/>
    <col min="7423" max="7423" width="27.33203125" style="73" customWidth="1"/>
    <col min="7424" max="7424" width="30.83203125" style="73" customWidth="1"/>
    <col min="7425" max="7425" width="24.83203125" style="73" customWidth="1"/>
    <col min="7426" max="7426" width="27.33203125" style="73" customWidth="1"/>
    <col min="7427" max="7427" width="32" style="73" customWidth="1"/>
    <col min="7428" max="7428" width="25.5" style="73" customWidth="1"/>
    <col min="7429" max="7429" width="27.33203125" style="73" customWidth="1"/>
    <col min="7430" max="7430" width="31.5" style="73" customWidth="1"/>
    <col min="7431" max="7431" width="30.5" style="73" customWidth="1"/>
    <col min="7432" max="7432" width="27.33203125" style="73" customWidth="1"/>
    <col min="7433" max="7433" width="32.5" style="73" customWidth="1"/>
    <col min="7434" max="7434" width="30.5" style="73" customWidth="1"/>
    <col min="7435" max="7435" width="24.33203125" style="73" customWidth="1"/>
    <col min="7436" max="7436" width="28" style="73" customWidth="1"/>
    <col min="7437" max="7437" width="19.5" style="73" customWidth="1"/>
    <col min="7438" max="7674" width="9.1640625" style="73"/>
    <col min="7675" max="7676" width="14.5" style="73" customWidth="1"/>
    <col min="7677" max="7677" width="58.1640625" style="73" customWidth="1"/>
    <col min="7678" max="7678" width="30.5" style="73" customWidth="1"/>
    <col min="7679" max="7679" width="27.33203125" style="73" customWidth="1"/>
    <col min="7680" max="7680" width="30.83203125" style="73" customWidth="1"/>
    <col min="7681" max="7681" width="24.83203125" style="73" customWidth="1"/>
    <col min="7682" max="7682" width="27.33203125" style="73" customWidth="1"/>
    <col min="7683" max="7683" width="32" style="73" customWidth="1"/>
    <col min="7684" max="7684" width="25.5" style="73" customWidth="1"/>
    <col min="7685" max="7685" width="27.33203125" style="73" customWidth="1"/>
    <col min="7686" max="7686" width="31.5" style="73" customWidth="1"/>
    <col min="7687" max="7687" width="30.5" style="73" customWidth="1"/>
    <col min="7688" max="7688" width="27.33203125" style="73" customWidth="1"/>
    <col min="7689" max="7689" width="32.5" style="73" customWidth="1"/>
    <col min="7690" max="7690" width="30.5" style="73" customWidth="1"/>
    <col min="7691" max="7691" width="24.33203125" style="73" customWidth="1"/>
    <col min="7692" max="7692" width="28" style="73" customWidth="1"/>
    <col min="7693" max="7693" width="19.5" style="73" customWidth="1"/>
    <col min="7694" max="7930" width="9.1640625" style="73"/>
    <col min="7931" max="7932" width="14.5" style="73" customWidth="1"/>
    <col min="7933" max="7933" width="58.1640625" style="73" customWidth="1"/>
    <col min="7934" max="7934" width="30.5" style="73" customWidth="1"/>
    <col min="7935" max="7935" width="27.33203125" style="73" customWidth="1"/>
    <col min="7936" max="7936" width="30.83203125" style="73" customWidth="1"/>
    <col min="7937" max="7937" width="24.83203125" style="73" customWidth="1"/>
    <col min="7938" max="7938" width="27.33203125" style="73" customWidth="1"/>
    <col min="7939" max="7939" width="32" style="73" customWidth="1"/>
    <col min="7940" max="7940" width="25.5" style="73" customWidth="1"/>
    <col min="7941" max="7941" width="27.33203125" style="73" customWidth="1"/>
    <col min="7942" max="7942" width="31.5" style="73" customWidth="1"/>
    <col min="7943" max="7943" width="30.5" style="73" customWidth="1"/>
    <col min="7944" max="7944" width="27.33203125" style="73" customWidth="1"/>
    <col min="7945" max="7945" width="32.5" style="73" customWidth="1"/>
    <col min="7946" max="7946" width="30.5" style="73" customWidth="1"/>
    <col min="7947" max="7947" width="24.33203125" style="73" customWidth="1"/>
    <col min="7948" max="7948" width="28" style="73" customWidth="1"/>
    <col min="7949" max="7949" width="19.5" style="73" customWidth="1"/>
    <col min="7950" max="8186" width="9.1640625" style="73"/>
    <col min="8187" max="8188" width="14.5" style="73" customWidth="1"/>
    <col min="8189" max="8189" width="58.1640625" style="73" customWidth="1"/>
    <col min="8190" max="8190" width="30.5" style="73" customWidth="1"/>
    <col min="8191" max="8191" width="27.33203125" style="73" customWidth="1"/>
    <col min="8192" max="8192" width="30.83203125" style="73" customWidth="1"/>
    <col min="8193" max="8193" width="24.83203125" style="73" customWidth="1"/>
    <col min="8194" max="8194" width="27.33203125" style="73" customWidth="1"/>
    <col min="8195" max="8195" width="32" style="73" customWidth="1"/>
    <col min="8196" max="8196" width="25.5" style="73" customWidth="1"/>
    <col min="8197" max="8197" width="27.33203125" style="73" customWidth="1"/>
    <col min="8198" max="8198" width="31.5" style="73" customWidth="1"/>
    <col min="8199" max="8199" width="30.5" style="73" customWidth="1"/>
    <col min="8200" max="8200" width="27.33203125" style="73" customWidth="1"/>
    <col min="8201" max="8201" width="32.5" style="73" customWidth="1"/>
    <col min="8202" max="8202" width="30.5" style="73" customWidth="1"/>
    <col min="8203" max="8203" width="24.33203125" style="73" customWidth="1"/>
    <col min="8204" max="8204" width="28" style="73" customWidth="1"/>
    <col min="8205" max="8205" width="19.5" style="73" customWidth="1"/>
    <col min="8206" max="8442" width="9.1640625" style="73"/>
    <col min="8443" max="8444" width="14.5" style="73" customWidth="1"/>
    <col min="8445" max="8445" width="58.1640625" style="73" customWidth="1"/>
    <col min="8446" max="8446" width="30.5" style="73" customWidth="1"/>
    <col min="8447" max="8447" width="27.33203125" style="73" customWidth="1"/>
    <col min="8448" max="8448" width="30.83203125" style="73" customWidth="1"/>
    <col min="8449" max="8449" width="24.83203125" style="73" customWidth="1"/>
    <col min="8450" max="8450" width="27.33203125" style="73" customWidth="1"/>
    <col min="8451" max="8451" width="32" style="73" customWidth="1"/>
    <col min="8452" max="8452" width="25.5" style="73" customWidth="1"/>
    <col min="8453" max="8453" width="27.33203125" style="73" customWidth="1"/>
    <col min="8454" max="8454" width="31.5" style="73" customWidth="1"/>
    <col min="8455" max="8455" width="30.5" style="73" customWidth="1"/>
    <col min="8456" max="8456" width="27.33203125" style="73" customWidth="1"/>
    <col min="8457" max="8457" width="32.5" style="73" customWidth="1"/>
    <col min="8458" max="8458" width="30.5" style="73" customWidth="1"/>
    <col min="8459" max="8459" width="24.33203125" style="73" customWidth="1"/>
    <col min="8460" max="8460" width="28" style="73" customWidth="1"/>
    <col min="8461" max="8461" width="19.5" style="73" customWidth="1"/>
    <col min="8462" max="8698" width="9.1640625" style="73"/>
    <col min="8699" max="8700" width="14.5" style="73" customWidth="1"/>
    <col min="8701" max="8701" width="58.1640625" style="73" customWidth="1"/>
    <col min="8702" max="8702" width="30.5" style="73" customWidth="1"/>
    <col min="8703" max="8703" width="27.33203125" style="73" customWidth="1"/>
    <col min="8704" max="8704" width="30.83203125" style="73" customWidth="1"/>
    <col min="8705" max="8705" width="24.83203125" style="73" customWidth="1"/>
    <col min="8706" max="8706" width="27.33203125" style="73" customWidth="1"/>
    <col min="8707" max="8707" width="32" style="73" customWidth="1"/>
    <col min="8708" max="8708" width="25.5" style="73" customWidth="1"/>
    <col min="8709" max="8709" width="27.33203125" style="73" customWidth="1"/>
    <col min="8710" max="8710" width="31.5" style="73" customWidth="1"/>
    <col min="8711" max="8711" width="30.5" style="73" customWidth="1"/>
    <col min="8712" max="8712" width="27.33203125" style="73" customWidth="1"/>
    <col min="8713" max="8713" width="32.5" style="73" customWidth="1"/>
    <col min="8714" max="8714" width="30.5" style="73" customWidth="1"/>
    <col min="8715" max="8715" width="24.33203125" style="73" customWidth="1"/>
    <col min="8716" max="8716" width="28" style="73" customWidth="1"/>
    <col min="8717" max="8717" width="19.5" style="73" customWidth="1"/>
    <col min="8718" max="8954" width="9.1640625" style="73"/>
    <col min="8955" max="8956" width="14.5" style="73" customWidth="1"/>
    <col min="8957" max="8957" width="58.1640625" style="73" customWidth="1"/>
    <col min="8958" max="8958" width="30.5" style="73" customWidth="1"/>
    <col min="8959" max="8959" width="27.33203125" style="73" customWidth="1"/>
    <col min="8960" max="8960" width="30.83203125" style="73" customWidth="1"/>
    <col min="8961" max="8961" width="24.83203125" style="73" customWidth="1"/>
    <col min="8962" max="8962" width="27.33203125" style="73" customWidth="1"/>
    <col min="8963" max="8963" width="32" style="73" customWidth="1"/>
    <col min="8964" max="8964" width="25.5" style="73" customWidth="1"/>
    <col min="8965" max="8965" width="27.33203125" style="73" customWidth="1"/>
    <col min="8966" max="8966" width="31.5" style="73" customWidth="1"/>
    <col min="8967" max="8967" width="30.5" style="73" customWidth="1"/>
    <col min="8968" max="8968" width="27.33203125" style="73" customWidth="1"/>
    <col min="8969" max="8969" width="32.5" style="73" customWidth="1"/>
    <col min="8970" max="8970" width="30.5" style="73" customWidth="1"/>
    <col min="8971" max="8971" width="24.33203125" style="73" customWidth="1"/>
    <col min="8972" max="8972" width="28" style="73" customWidth="1"/>
    <col min="8973" max="8973" width="19.5" style="73" customWidth="1"/>
    <col min="8974" max="9210" width="9.1640625" style="73"/>
    <col min="9211" max="9212" width="14.5" style="73" customWidth="1"/>
    <col min="9213" max="9213" width="58.1640625" style="73" customWidth="1"/>
    <col min="9214" max="9214" width="30.5" style="73" customWidth="1"/>
    <col min="9215" max="9215" width="27.33203125" style="73" customWidth="1"/>
    <col min="9216" max="9216" width="30.83203125" style="73" customWidth="1"/>
    <col min="9217" max="9217" width="24.83203125" style="73" customWidth="1"/>
    <col min="9218" max="9218" width="27.33203125" style="73" customWidth="1"/>
    <col min="9219" max="9219" width="32" style="73" customWidth="1"/>
    <col min="9220" max="9220" width="25.5" style="73" customWidth="1"/>
    <col min="9221" max="9221" width="27.33203125" style="73" customWidth="1"/>
    <col min="9222" max="9222" width="31.5" style="73" customWidth="1"/>
    <col min="9223" max="9223" width="30.5" style="73" customWidth="1"/>
    <col min="9224" max="9224" width="27.33203125" style="73" customWidth="1"/>
    <col min="9225" max="9225" width="32.5" style="73" customWidth="1"/>
    <col min="9226" max="9226" width="30.5" style="73" customWidth="1"/>
    <col min="9227" max="9227" width="24.33203125" style="73" customWidth="1"/>
    <col min="9228" max="9228" width="28" style="73" customWidth="1"/>
    <col min="9229" max="9229" width="19.5" style="73" customWidth="1"/>
    <col min="9230" max="9466" width="9.1640625" style="73"/>
    <col min="9467" max="9468" width="14.5" style="73" customWidth="1"/>
    <col min="9469" max="9469" width="58.1640625" style="73" customWidth="1"/>
    <col min="9470" max="9470" width="30.5" style="73" customWidth="1"/>
    <col min="9471" max="9471" width="27.33203125" style="73" customWidth="1"/>
    <col min="9472" max="9472" width="30.83203125" style="73" customWidth="1"/>
    <col min="9473" max="9473" width="24.83203125" style="73" customWidth="1"/>
    <col min="9474" max="9474" width="27.33203125" style="73" customWidth="1"/>
    <col min="9475" max="9475" width="32" style="73" customWidth="1"/>
    <col min="9476" max="9476" width="25.5" style="73" customWidth="1"/>
    <col min="9477" max="9477" width="27.33203125" style="73" customWidth="1"/>
    <col min="9478" max="9478" width="31.5" style="73" customWidth="1"/>
    <col min="9479" max="9479" width="30.5" style="73" customWidth="1"/>
    <col min="9480" max="9480" width="27.33203125" style="73" customWidth="1"/>
    <col min="9481" max="9481" width="32.5" style="73" customWidth="1"/>
    <col min="9482" max="9482" width="30.5" style="73" customWidth="1"/>
    <col min="9483" max="9483" width="24.33203125" style="73" customWidth="1"/>
    <col min="9484" max="9484" width="28" style="73" customWidth="1"/>
    <col min="9485" max="9485" width="19.5" style="73" customWidth="1"/>
    <col min="9486" max="9722" width="9.1640625" style="73"/>
    <col min="9723" max="9724" width="14.5" style="73" customWidth="1"/>
    <col min="9725" max="9725" width="58.1640625" style="73" customWidth="1"/>
    <col min="9726" max="9726" width="30.5" style="73" customWidth="1"/>
    <col min="9727" max="9727" width="27.33203125" style="73" customWidth="1"/>
    <col min="9728" max="9728" width="30.83203125" style="73" customWidth="1"/>
    <col min="9729" max="9729" width="24.83203125" style="73" customWidth="1"/>
    <col min="9730" max="9730" width="27.33203125" style="73" customWidth="1"/>
    <col min="9731" max="9731" width="32" style="73" customWidth="1"/>
    <col min="9732" max="9732" width="25.5" style="73" customWidth="1"/>
    <col min="9733" max="9733" width="27.33203125" style="73" customWidth="1"/>
    <col min="9734" max="9734" width="31.5" style="73" customWidth="1"/>
    <col min="9735" max="9735" width="30.5" style="73" customWidth="1"/>
    <col min="9736" max="9736" width="27.33203125" style="73" customWidth="1"/>
    <col min="9737" max="9737" width="32.5" style="73" customWidth="1"/>
    <col min="9738" max="9738" width="30.5" style="73" customWidth="1"/>
    <col min="9739" max="9739" width="24.33203125" style="73" customWidth="1"/>
    <col min="9740" max="9740" width="28" style="73" customWidth="1"/>
    <col min="9741" max="9741" width="19.5" style="73" customWidth="1"/>
    <col min="9742" max="9978" width="9.1640625" style="73"/>
    <col min="9979" max="9980" width="14.5" style="73" customWidth="1"/>
    <col min="9981" max="9981" width="58.1640625" style="73" customWidth="1"/>
    <col min="9982" max="9982" width="30.5" style="73" customWidth="1"/>
    <col min="9983" max="9983" width="27.33203125" style="73" customWidth="1"/>
    <col min="9984" max="9984" width="30.83203125" style="73" customWidth="1"/>
    <col min="9985" max="9985" width="24.83203125" style="73" customWidth="1"/>
    <col min="9986" max="9986" width="27.33203125" style="73" customWidth="1"/>
    <col min="9987" max="9987" width="32" style="73" customWidth="1"/>
    <col min="9988" max="9988" width="25.5" style="73" customWidth="1"/>
    <col min="9989" max="9989" width="27.33203125" style="73" customWidth="1"/>
    <col min="9990" max="9990" width="31.5" style="73" customWidth="1"/>
    <col min="9991" max="9991" width="30.5" style="73" customWidth="1"/>
    <col min="9992" max="9992" width="27.33203125" style="73" customWidth="1"/>
    <col min="9993" max="9993" width="32.5" style="73" customWidth="1"/>
    <col min="9994" max="9994" width="30.5" style="73" customWidth="1"/>
    <col min="9995" max="9995" width="24.33203125" style="73" customWidth="1"/>
    <col min="9996" max="9996" width="28" style="73" customWidth="1"/>
    <col min="9997" max="9997" width="19.5" style="73" customWidth="1"/>
    <col min="9998" max="10234" width="9.1640625" style="73"/>
    <col min="10235" max="10236" width="14.5" style="73" customWidth="1"/>
    <col min="10237" max="10237" width="58.1640625" style="73" customWidth="1"/>
    <col min="10238" max="10238" width="30.5" style="73" customWidth="1"/>
    <col min="10239" max="10239" width="27.33203125" style="73" customWidth="1"/>
    <col min="10240" max="10240" width="30.83203125" style="73" customWidth="1"/>
    <col min="10241" max="10241" width="24.83203125" style="73" customWidth="1"/>
    <col min="10242" max="10242" width="27.33203125" style="73" customWidth="1"/>
    <col min="10243" max="10243" width="32" style="73" customWidth="1"/>
    <col min="10244" max="10244" width="25.5" style="73" customWidth="1"/>
    <col min="10245" max="10245" width="27.33203125" style="73" customWidth="1"/>
    <col min="10246" max="10246" width="31.5" style="73" customWidth="1"/>
    <col min="10247" max="10247" width="30.5" style="73" customWidth="1"/>
    <col min="10248" max="10248" width="27.33203125" style="73" customWidth="1"/>
    <col min="10249" max="10249" width="32.5" style="73" customWidth="1"/>
    <col min="10250" max="10250" width="30.5" style="73" customWidth="1"/>
    <col min="10251" max="10251" width="24.33203125" style="73" customWidth="1"/>
    <col min="10252" max="10252" width="28" style="73" customWidth="1"/>
    <col min="10253" max="10253" width="19.5" style="73" customWidth="1"/>
    <col min="10254" max="10490" width="9.1640625" style="73"/>
    <col min="10491" max="10492" width="14.5" style="73" customWidth="1"/>
    <col min="10493" max="10493" width="58.1640625" style="73" customWidth="1"/>
    <col min="10494" max="10494" width="30.5" style="73" customWidth="1"/>
    <col min="10495" max="10495" width="27.33203125" style="73" customWidth="1"/>
    <col min="10496" max="10496" width="30.83203125" style="73" customWidth="1"/>
    <col min="10497" max="10497" width="24.83203125" style="73" customWidth="1"/>
    <col min="10498" max="10498" width="27.33203125" style="73" customWidth="1"/>
    <col min="10499" max="10499" width="32" style="73" customWidth="1"/>
    <col min="10500" max="10500" width="25.5" style="73" customWidth="1"/>
    <col min="10501" max="10501" width="27.33203125" style="73" customWidth="1"/>
    <col min="10502" max="10502" width="31.5" style="73" customWidth="1"/>
    <col min="10503" max="10503" width="30.5" style="73" customWidth="1"/>
    <col min="10504" max="10504" width="27.33203125" style="73" customWidth="1"/>
    <col min="10505" max="10505" width="32.5" style="73" customWidth="1"/>
    <col min="10506" max="10506" width="30.5" style="73" customWidth="1"/>
    <col min="10507" max="10507" width="24.33203125" style="73" customWidth="1"/>
    <col min="10508" max="10508" width="28" style="73" customWidth="1"/>
    <col min="10509" max="10509" width="19.5" style="73" customWidth="1"/>
    <col min="10510" max="10746" width="9.1640625" style="73"/>
    <col min="10747" max="10748" width="14.5" style="73" customWidth="1"/>
    <col min="10749" max="10749" width="58.1640625" style="73" customWidth="1"/>
    <col min="10750" max="10750" width="30.5" style="73" customWidth="1"/>
    <col min="10751" max="10751" width="27.33203125" style="73" customWidth="1"/>
    <col min="10752" max="10752" width="30.83203125" style="73" customWidth="1"/>
    <col min="10753" max="10753" width="24.83203125" style="73" customWidth="1"/>
    <col min="10754" max="10754" width="27.33203125" style="73" customWidth="1"/>
    <col min="10755" max="10755" width="32" style="73" customWidth="1"/>
    <col min="10756" max="10756" width="25.5" style="73" customWidth="1"/>
    <col min="10757" max="10757" width="27.33203125" style="73" customWidth="1"/>
    <col min="10758" max="10758" width="31.5" style="73" customWidth="1"/>
    <col min="10759" max="10759" width="30.5" style="73" customWidth="1"/>
    <col min="10760" max="10760" width="27.33203125" style="73" customWidth="1"/>
    <col min="10761" max="10761" width="32.5" style="73" customWidth="1"/>
    <col min="10762" max="10762" width="30.5" style="73" customWidth="1"/>
    <col min="10763" max="10763" width="24.33203125" style="73" customWidth="1"/>
    <col min="10764" max="10764" width="28" style="73" customWidth="1"/>
    <col min="10765" max="10765" width="19.5" style="73" customWidth="1"/>
    <col min="10766" max="11002" width="9.1640625" style="73"/>
    <col min="11003" max="11004" width="14.5" style="73" customWidth="1"/>
    <col min="11005" max="11005" width="58.1640625" style="73" customWidth="1"/>
    <col min="11006" max="11006" width="30.5" style="73" customWidth="1"/>
    <col min="11007" max="11007" width="27.33203125" style="73" customWidth="1"/>
    <col min="11008" max="11008" width="30.83203125" style="73" customWidth="1"/>
    <col min="11009" max="11009" width="24.83203125" style="73" customWidth="1"/>
    <col min="11010" max="11010" width="27.33203125" style="73" customWidth="1"/>
    <col min="11011" max="11011" width="32" style="73" customWidth="1"/>
    <col min="11012" max="11012" width="25.5" style="73" customWidth="1"/>
    <col min="11013" max="11013" width="27.33203125" style="73" customWidth="1"/>
    <col min="11014" max="11014" width="31.5" style="73" customWidth="1"/>
    <col min="11015" max="11015" width="30.5" style="73" customWidth="1"/>
    <col min="11016" max="11016" width="27.33203125" style="73" customWidth="1"/>
    <col min="11017" max="11017" width="32.5" style="73" customWidth="1"/>
    <col min="11018" max="11018" width="30.5" style="73" customWidth="1"/>
    <col min="11019" max="11019" width="24.33203125" style="73" customWidth="1"/>
    <col min="11020" max="11020" width="28" style="73" customWidth="1"/>
    <col min="11021" max="11021" width="19.5" style="73" customWidth="1"/>
    <col min="11022" max="11258" width="9.1640625" style="73"/>
    <col min="11259" max="11260" width="14.5" style="73" customWidth="1"/>
    <col min="11261" max="11261" width="58.1640625" style="73" customWidth="1"/>
    <col min="11262" max="11262" width="30.5" style="73" customWidth="1"/>
    <col min="11263" max="11263" width="27.33203125" style="73" customWidth="1"/>
    <col min="11264" max="11264" width="30.83203125" style="73" customWidth="1"/>
    <col min="11265" max="11265" width="24.83203125" style="73" customWidth="1"/>
    <col min="11266" max="11266" width="27.33203125" style="73" customWidth="1"/>
    <col min="11267" max="11267" width="32" style="73" customWidth="1"/>
    <col min="11268" max="11268" width="25.5" style="73" customWidth="1"/>
    <col min="11269" max="11269" width="27.33203125" style="73" customWidth="1"/>
    <col min="11270" max="11270" width="31.5" style="73" customWidth="1"/>
    <col min="11271" max="11271" width="30.5" style="73" customWidth="1"/>
    <col min="11272" max="11272" width="27.33203125" style="73" customWidth="1"/>
    <col min="11273" max="11273" width="32.5" style="73" customWidth="1"/>
    <col min="11274" max="11274" width="30.5" style="73" customWidth="1"/>
    <col min="11275" max="11275" width="24.33203125" style="73" customWidth="1"/>
    <col min="11276" max="11276" width="28" style="73" customWidth="1"/>
    <col min="11277" max="11277" width="19.5" style="73" customWidth="1"/>
    <col min="11278" max="11514" width="9.1640625" style="73"/>
    <col min="11515" max="11516" width="14.5" style="73" customWidth="1"/>
    <col min="11517" max="11517" width="58.1640625" style="73" customWidth="1"/>
    <col min="11518" max="11518" width="30.5" style="73" customWidth="1"/>
    <col min="11519" max="11519" width="27.33203125" style="73" customWidth="1"/>
    <col min="11520" max="11520" width="30.83203125" style="73" customWidth="1"/>
    <col min="11521" max="11521" width="24.83203125" style="73" customWidth="1"/>
    <col min="11522" max="11522" width="27.33203125" style="73" customWidth="1"/>
    <col min="11523" max="11523" width="32" style="73" customWidth="1"/>
    <col min="11524" max="11524" width="25.5" style="73" customWidth="1"/>
    <col min="11525" max="11525" width="27.33203125" style="73" customWidth="1"/>
    <col min="11526" max="11526" width="31.5" style="73" customWidth="1"/>
    <col min="11527" max="11527" width="30.5" style="73" customWidth="1"/>
    <col min="11528" max="11528" width="27.33203125" style="73" customWidth="1"/>
    <col min="11529" max="11529" width="32.5" style="73" customWidth="1"/>
    <col min="11530" max="11530" width="30.5" style="73" customWidth="1"/>
    <col min="11531" max="11531" width="24.33203125" style="73" customWidth="1"/>
    <col min="11532" max="11532" width="28" style="73" customWidth="1"/>
    <col min="11533" max="11533" width="19.5" style="73" customWidth="1"/>
    <col min="11534" max="11770" width="9.1640625" style="73"/>
    <col min="11771" max="11772" width="14.5" style="73" customWidth="1"/>
    <col min="11773" max="11773" width="58.1640625" style="73" customWidth="1"/>
    <col min="11774" max="11774" width="30.5" style="73" customWidth="1"/>
    <col min="11775" max="11775" width="27.33203125" style="73" customWidth="1"/>
    <col min="11776" max="11776" width="30.83203125" style="73" customWidth="1"/>
    <col min="11777" max="11777" width="24.83203125" style="73" customWidth="1"/>
    <col min="11778" max="11778" width="27.33203125" style="73" customWidth="1"/>
    <col min="11779" max="11779" width="32" style="73" customWidth="1"/>
    <col min="11780" max="11780" width="25.5" style="73" customWidth="1"/>
    <col min="11781" max="11781" width="27.33203125" style="73" customWidth="1"/>
    <col min="11782" max="11782" width="31.5" style="73" customWidth="1"/>
    <col min="11783" max="11783" width="30.5" style="73" customWidth="1"/>
    <col min="11784" max="11784" width="27.33203125" style="73" customWidth="1"/>
    <col min="11785" max="11785" width="32.5" style="73" customWidth="1"/>
    <col min="11786" max="11786" width="30.5" style="73" customWidth="1"/>
    <col min="11787" max="11787" width="24.33203125" style="73" customWidth="1"/>
    <col min="11788" max="11788" width="28" style="73" customWidth="1"/>
    <col min="11789" max="11789" width="19.5" style="73" customWidth="1"/>
    <col min="11790" max="12026" width="9.1640625" style="73"/>
    <col min="12027" max="12028" width="14.5" style="73" customWidth="1"/>
    <col min="12029" max="12029" width="58.1640625" style="73" customWidth="1"/>
    <col min="12030" max="12030" width="30.5" style="73" customWidth="1"/>
    <col min="12031" max="12031" width="27.33203125" style="73" customWidth="1"/>
    <col min="12032" max="12032" width="30.83203125" style="73" customWidth="1"/>
    <col min="12033" max="12033" width="24.83203125" style="73" customWidth="1"/>
    <col min="12034" max="12034" width="27.33203125" style="73" customWidth="1"/>
    <col min="12035" max="12035" width="32" style="73" customWidth="1"/>
    <col min="12036" max="12036" width="25.5" style="73" customWidth="1"/>
    <col min="12037" max="12037" width="27.33203125" style="73" customWidth="1"/>
    <col min="12038" max="12038" width="31.5" style="73" customWidth="1"/>
    <col min="12039" max="12039" width="30.5" style="73" customWidth="1"/>
    <col min="12040" max="12040" width="27.33203125" style="73" customWidth="1"/>
    <col min="12041" max="12041" width="32.5" style="73" customWidth="1"/>
    <col min="12042" max="12042" width="30.5" style="73" customWidth="1"/>
    <col min="12043" max="12043" width="24.33203125" style="73" customWidth="1"/>
    <col min="12044" max="12044" width="28" style="73" customWidth="1"/>
    <col min="12045" max="12045" width="19.5" style="73" customWidth="1"/>
    <col min="12046" max="12282" width="9.1640625" style="73"/>
    <col min="12283" max="12284" width="14.5" style="73" customWidth="1"/>
    <col min="12285" max="12285" width="58.1640625" style="73" customWidth="1"/>
    <col min="12286" max="12286" width="30.5" style="73" customWidth="1"/>
    <col min="12287" max="12287" width="27.33203125" style="73" customWidth="1"/>
    <col min="12288" max="12288" width="30.83203125" style="73" customWidth="1"/>
    <col min="12289" max="12289" width="24.83203125" style="73" customWidth="1"/>
    <col min="12290" max="12290" width="27.33203125" style="73" customWidth="1"/>
    <col min="12291" max="12291" width="32" style="73" customWidth="1"/>
    <col min="12292" max="12292" width="25.5" style="73" customWidth="1"/>
    <col min="12293" max="12293" width="27.33203125" style="73" customWidth="1"/>
    <col min="12294" max="12294" width="31.5" style="73" customWidth="1"/>
    <col min="12295" max="12295" width="30.5" style="73" customWidth="1"/>
    <col min="12296" max="12296" width="27.33203125" style="73" customWidth="1"/>
    <col min="12297" max="12297" width="32.5" style="73" customWidth="1"/>
    <col min="12298" max="12298" width="30.5" style="73" customWidth="1"/>
    <col min="12299" max="12299" width="24.33203125" style="73" customWidth="1"/>
    <col min="12300" max="12300" width="28" style="73" customWidth="1"/>
    <col min="12301" max="12301" width="19.5" style="73" customWidth="1"/>
    <col min="12302" max="12538" width="9.1640625" style="73"/>
    <col min="12539" max="12540" width="14.5" style="73" customWidth="1"/>
    <col min="12541" max="12541" width="58.1640625" style="73" customWidth="1"/>
    <col min="12542" max="12542" width="30.5" style="73" customWidth="1"/>
    <col min="12543" max="12543" width="27.33203125" style="73" customWidth="1"/>
    <col min="12544" max="12544" width="30.83203125" style="73" customWidth="1"/>
    <col min="12545" max="12545" width="24.83203125" style="73" customWidth="1"/>
    <col min="12546" max="12546" width="27.33203125" style="73" customWidth="1"/>
    <col min="12547" max="12547" width="32" style="73" customWidth="1"/>
    <col min="12548" max="12548" width="25.5" style="73" customWidth="1"/>
    <col min="12549" max="12549" width="27.33203125" style="73" customWidth="1"/>
    <col min="12550" max="12550" width="31.5" style="73" customWidth="1"/>
    <col min="12551" max="12551" width="30.5" style="73" customWidth="1"/>
    <col min="12552" max="12552" width="27.33203125" style="73" customWidth="1"/>
    <col min="12553" max="12553" width="32.5" style="73" customWidth="1"/>
    <col min="12554" max="12554" width="30.5" style="73" customWidth="1"/>
    <col min="12555" max="12555" width="24.33203125" style="73" customWidth="1"/>
    <col min="12556" max="12556" width="28" style="73" customWidth="1"/>
    <col min="12557" max="12557" width="19.5" style="73" customWidth="1"/>
    <col min="12558" max="12794" width="9.1640625" style="73"/>
    <col min="12795" max="12796" width="14.5" style="73" customWidth="1"/>
    <col min="12797" max="12797" width="58.1640625" style="73" customWidth="1"/>
    <col min="12798" max="12798" width="30.5" style="73" customWidth="1"/>
    <col min="12799" max="12799" width="27.33203125" style="73" customWidth="1"/>
    <col min="12800" max="12800" width="30.83203125" style="73" customWidth="1"/>
    <col min="12801" max="12801" width="24.83203125" style="73" customWidth="1"/>
    <col min="12802" max="12802" width="27.33203125" style="73" customWidth="1"/>
    <col min="12803" max="12803" width="32" style="73" customWidth="1"/>
    <col min="12804" max="12804" width="25.5" style="73" customWidth="1"/>
    <col min="12805" max="12805" width="27.33203125" style="73" customWidth="1"/>
    <col min="12806" max="12806" width="31.5" style="73" customWidth="1"/>
    <col min="12807" max="12807" width="30.5" style="73" customWidth="1"/>
    <col min="12808" max="12808" width="27.33203125" style="73" customWidth="1"/>
    <col min="12809" max="12809" width="32.5" style="73" customWidth="1"/>
    <col min="12810" max="12810" width="30.5" style="73" customWidth="1"/>
    <col min="12811" max="12811" width="24.33203125" style="73" customWidth="1"/>
    <col min="12812" max="12812" width="28" style="73" customWidth="1"/>
    <col min="12813" max="12813" width="19.5" style="73" customWidth="1"/>
    <col min="12814" max="13050" width="9.1640625" style="73"/>
    <col min="13051" max="13052" width="14.5" style="73" customWidth="1"/>
    <col min="13053" max="13053" width="58.1640625" style="73" customWidth="1"/>
    <col min="13054" max="13054" width="30.5" style="73" customWidth="1"/>
    <col min="13055" max="13055" width="27.33203125" style="73" customWidth="1"/>
    <col min="13056" max="13056" width="30.83203125" style="73" customWidth="1"/>
    <col min="13057" max="13057" width="24.83203125" style="73" customWidth="1"/>
    <col min="13058" max="13058" width="27.33203125" style="73" customWidth="1"/>
    <col min="13059" max="13059" width="32" style="73" customWidth="1"/>
    <col min="13060" max="13060" width="25.5" style="73" customWidth="1"/>
    <col min="13061" max="13061" width="27.33203125" style="73" customWidth="1"/>
    <col min="13062" max="13062" width="31.5" style="73" customWidth="1"/>
    <col min="13063" max="13063" width="30.5" style="73" customWidth="1"/>
    <col min="13064" max="13064" width="27.33203125" style="73" customWidth="1"/>
    <col min="13065" max="13065" width="32.5" style="73" customWidth="1"/>
    <col min="13066" max="13066" width="30.5" style="73" customWidth="1"/>
    <col min="13067" max="13067" width="24.33203125" style="73" customWidth="1"/>
    <col min="13068" max="13068" width="28" style="73" customWidth="1"/>
    <col min="13069" max="13069" width="19.5" style="73" customWidth="1"/>
    <col min="13070" max="13306" width="9.1640625" style="73"/>
    <col min="13307" max="13308" width="14.5" style="73" customWidth="1"/>
    <col min="13309" max="13309" width="58.1640625" style="73" customWidth="1"/>
    <col min="13310" max="13310" width="30.5" style="73" customWidth="1"/>
    <col min="13311" max="13311" width="27.33203125" style="73" customWidth="1"/>
    <col min="13312" max="13312" width="30.83203125" style="73" customWidth="1"/>
    <col min="13313" max="13313" width="24.83203125" style="73" customWidth="1"/>
    <col min="13314" max="13314" width="27.33203125" style="73" customWidth="1"/>
    <col min="13315" max="13315" width="32" style="73" customWidth="1"/>
    <col min="13316" max="13316" width="25.5" style="73" customWidth="1"/>
    <col min="13317" max="13317" width="27.33203125" style="73" customWidth="1"/>
    <col min="13318" max="13318" width="31.5" style="73" customWidth="1"/>
    <col min="13319" max="13319" width="30.5" style="73" customWidth="1"/>
    <col min="13320" max="13320" width="27.33203125" style="73" customWidth="1"/>
    <col min="13321" max="13321" width="32.5" style="73" customWidth="1"/>
    <col min="13322" max="13322" width="30.5" style="73" customWidth="1"/>
    <col min="13323" max="13323" width="24.33203125" style="73" customWidth="1"/>
    <col min="13324" max="13324" width="28" style="73" customWidth="1"/>
    <col min="13325" max="13325" width="19.5" style="73" customWidth="1"/>
    <col min="13326" max="13562" width="9.1640625" style="73"/>
    <col min="13563" max="13564" width="14.5" style="73" customWidth="1"/>
    <col min="13565" max="13565" width="58.1640625" style="73" customWidth="1"/>
    <col min="13566" max="13566" width="30.5" style="73" customWidth="1"/>
    <col min="13567" max="13567" width="27.33203125" style="73" customWidth="1"/>
    <col min="13568" max="13568" width="30.83203125" style="73" customWidth="1"/>
    <col min="13569" max="13569" width="24.83203125" style="73" customWidth="1"/>
    <col min="13570" max="13570" width="27.33203125" style="73" customWidth="1"/>
    <col min="13571" max="13571" width="32" style="73" customWidth="1"/>
    <col min="13572" max="13572" width="25.5" style="73" customWidth="1"/>
    <col min="13573" max="13573" width="27.33203125" style="73" customWidth="1"/>
    <col min="13574" max="13574" width="31.5" style="73" customWidth="1"/>
    <col min="13575" max="13575" width="30.5" style="73" customWidth="1"/>
    <col min="13576" max="13576" width="27.33203125" style="73" customWidth="1"/>
    <col min="13577" max="13577" width="32.5" style="73" customWidth="1"/>
    <col min="13578" max="13578" width="30.5" style="73" customWidth="1"/>
    <col min="13579" max="13579" width="24.33203125" style="73" customWidth="1"/>
    <col min="13580" max="13580" width="28" style="73" customWidth="1"/>
    <col min="13581" max="13581" width="19.5" style="73" customWidth="1"/>
    <col min="13582" max="13818" width="9.1640625" style="73"/>
    <col min="13819" max="13820" width="14.5" style="73" customWidth="1"/>
    <col min="13821" max="13821" width="58.1640625" style="73" customWidth="1"/>
    <col min="13822" max="13822" width="30.5" style="73" customWidth="1"/>
    <col min="13823" max="13823" width="27.33203125" style="73" customWidth="1"/>
    <col min="13824" max="13824" width="30.83203125" style="73" customWidth="1"/>
    <col min="13825" max="13825" width="24.83203125" style="73" customWidth="1"/>
    <col min="13826" max="13826" width="27.33203125" style="73" customWidth="1"/>
    <col min="13827" max="13827" width="32" style="73" customWidth="1"/>
    <col min="13828" max="13828" width="25.5" style="73" customWidth="1"/>
    <col min="13829" max="13829" width="27.33203125" style="73" customWidth="1"/>
    <col min="13830" max="13830" width="31.5" style="73" customWidth="1"/>
    <col min="13831" max="13831" width="30.5" style="73" customWidth="1"/>
    <col min="13832" max="13832" width="27.33203125" style="73" customWidth="1"/>
    <col min="13833" max="13833" width="32.5" style="73" customWidth="1"/>
    <col min="13834" max="13834" width="30.5" style="73" customWidth="1"/>
    <col min="13835" max="13835" width="24.33203125" style="73" customWidth="1"/>
    <col min="13836" max="13836" width="28" style="73" customWidth="1"/>
    <col min="13837" max="13837" width="19.5" style="73" customWidth="1"/>
    <col min="13838" max="14074" width="9.1640625" style="73"/>
    <col min="14075" max="14076" width="14.5" style="73" customWidth="1"/>
    <col min="14077" max="14077" width="58.1640625" style="73" customWidth="1"/>
    <col min="14078" max="14078" width="30.5" style="73" customWidth="1"/>
    <col min="14079" max="14079" width="27.33203125" style="73" customWidth="1"/>
    <col min="14080" max="14080" width="30.83203125" style="73" customWidth="1"/>
    <col min="14081" max="14081" width="24.83203125" style="73" customWidth="1"/>
    <col min="14082" max="14082" width="27.33203125" style="73" customWidth="1"/>
    <col min="14083" max="14083" width="32" style="73" customWidth="1"/>
    <col min="14084" max="14084" width="25.5" style="73" customWidth="1"/>
    <col min="14085" max="14085" width="27.33203125" style="73" customWidth="1"/>
    <col min="14086" max="14086" width="31.5" style="73" customWidth="1"/>
    <col min="14087" max="14087" width="30.5" style="73" customWidth="1"/>
    <col min="14088" max="14088" width="27.33203125" style="73" customWidth="1"/>
    <col min="14089" max="14089" width="32.5" style="73" customWidth="1"/>
    <col min="14090" max="14090" width="30.5" style="73" customWidth="1"/>
    <col min="14091" max="14091" width="24.33203125" style="73" customWidth="1"/>
    <col min="14092" max="14092" width="28" style="73" customWidth="1"/>
    <col min="14093" max="14093" width="19.5" style="73" customWidth="1"/>
    <col min="14094" max="14330" width="9.1640625" style="73"/>
    <col min="14331" max="14332" width="14.5" style="73" customWidth="1"/>
    <col min="14333" max="14333" width="58.1640625" style="73" customWidth="1"/>
    <col min="14334" max="14334" width="30.5" style="73" customWidth="1"/>
    <col min="14335" max="14335" width="27.33203125" style="73" customWidth="1"/>
    <col min="14336" max="14336" width="30.83203125" style="73" customWidth="1"/>
    <col min="14337" max="14337" width="24.83203125" style="73" customWidth="1"/>
    <col min="14338" max="14338" width="27.33203125" style="73" customWidth="1"/>
    <col min="14339" max="14339" width="32" style="73" customWidth="1"/>
    <col min="14340" max="14340" width="25.5" style="73" customWidth="1"/>
    <col min="14341" max="14341" width="27.33203125" style="73" customWidth="1"/>
    <col min="14342" max="14342" width="31.5" style="73" customWidth="1"/>
    <col min="14343" max="14343" width="30.5" style="73" customWidth="1"/>
    <col min="14344" max="14344" width="27.33203125" style="73" customWidth="1"/>
    <col min="14345" max="14345" width="32.5" style="73" customWidth="1"/>
    <col min="14346" max="14346" width="30.5" style="73" customWidth="1"/>
    <col min="14347" max="14347" width="24.33203125" style="73" customWidth="1"/>
    <col min="14348" max="14348" width="28" style="73" customWidth="1"/>
    <col min="14349" max="14349" width="19.5" style="73" customWidth="1"/>
    <col min="14350" max="14586" width="9.1640625" style="73"/>
    <col min="14587" max="14588" width="14.5" style="73" customWidth="1"/>
    <col min="14589" max="14589" width="58.1640625" style="73" customWidth="1"/>
    <col min="14590" max="14590" width="30.5" style="73" customWidth="1"/>
    <col min="14591" max="14591" width="27.33203125" style="73" customWidth="1"/>
    <col min="14592" max="14592" width="30.83203125" style="73" customWidth="1"/>
    <col min="14593" max="14593" width="24.83203125" style="73" customWidth="1"/>
    <col min="14594" max="14594" width="27.33203125" style="73" customWidth="1"/>
    <col min="14595" max="14595" width="32" style="73" customWidth="1"/>
    <col min="14596" max="14596" width="25.5" style="73" customWidth="1"/>
    <col min="14597" max="14597" width="27.33203125" style="73" customWidth="1"/>
    <col min="14598" max="14598" width="31.5" style="73" customWidth="1"/>
    <col min="14599" max="14599" width="30.5" style="73" customWidth="1"/>
    <col min="14600" max="14600" width="27.33203125" style="73" customWidth="1"/>
    <col min="14601" max="14601" width="32.5" style="73" customWidth="1"/>
    <col min="14602" max="14602" width="30.5" style="73" customWidth="1"/>
    <col min="14603" max="14603" width="24.33203125" style="73" customWidth="1"/>
    <col min="14604" max="14604" width="28" style="73" customWidth="1"/>
    <col min="14605" max="14605" width="19.5" style="73" customWidth="1"/>
    <col min="14606" max="14842" width="9.1640625" style="73"/>
    <col min="14843" max="14844" width="14.5" style="73" customWidth="1"/>
    <col min="14845" max="14845" width="58.1640625" style="73" customWidth="1"/>
    <col min="14846" max="14846" width="30.5" style="73" customWidth="1"/>
    <col min="14847" max="14847" width="27.33203125" style="73" customWidth="1"/>
    <col min="14848" max="14848" width="30.83203125" style="73" customWidth="1"/>
    <col min="14849" max="14849" width="24.83203125" style="73" customWidth="1"/>
    <col min="14850" max="14850" width="27.33203125" style="73" customWidth="1"/>
    <col min="14851" max="14851" width="32" style="73" customWidth="1"/>
    <col min="14852" max="14852" width="25.5" style="73" customWidth="1"/>
    <col min="14853" max="14853" width="27.33203125" style="73" customWidth="1"/>
    <col min="14854" max="14854" width="31.5" style="73" customWidth="1"/>
    <col min="14855" max="14855" width="30.5" style="73" customWidth="1"/>
    <col min="14856" max="14856" width="27.33203125" style="73" customWidth="1"/>
    <col min="14857" max="14857" width="32.5" style="73" customWidth="1"/>
    <col min="14858" max="14858" width="30.5" style="73" customWidth="1"/>
    <col min="14859" max="14859" width="24.33203125" style="73" customWidth="1"/>
    <col min="14860" max="14860" width="28" style="73" customWidth="1"/>
    <col min="14861" max="14861" width="19.5" style="73" customWidth="1"/>
    <col min="14862" max="15098" width="9.1640625" style="73"/>
    <col min="15099" max="15100" width="14.5" style="73" customWidth="1"/>
    <col min="15101" max="15101" width="58.1640625" style="73" customWidth="1"/>
    <col min="15102" max="15102" width="30.5" style="73" customWidth="1"/>
    <col min="15103" max="15103" width="27.33203125" style="73" customWidth="1"/>
    <col min="15104" max="15104" width="30.83203125" style="73" customWidth="1"/>
    <col min="15105" max="15105" width="24.83203125" style="73" customWidth="1"/>
    <col min="15106" max="15106" width="27.33203125" style="73" customWidth="1"/>
    <col min="15107" max="15107" width="32" style="73" customWidth="1"/>
    <col min="15108" max="15108" width="25.5" style="73" customWidth="1"/>
    <col min="15109" max="15109" width="27.33203125" style="73" customWidth="1"/>
    <col min="15110" max="15110" width="31.5" style="73" customWidth="1"/>
    <col min="15111" max="15111" width="30.5" style="73" customWidth="1"/>
    <col min="15112" max="15112" width="27.33203125" style="73" customWidth="1"/>
    <col min="15113" max="15113" width="32.5" style="73" customWidth="1"/>
    <col min="15114" max="15114" width="30.5" style="73" customWidth="1"/>
    <col min="15115" max="15115" width="24.33203125" style="73" customWidth="1"/>
    <col min="15116" max="15116" width="28" style="73" customWidth="1"/>
    <col min="15117" max="15117" width="19.5" style="73" customWidth="1"/>
    <col min="15118" max="15354" width="9.1640625" style="73"/>
    <col min="15355" max="15356" width="14.5" style="73" customWidth="1"/>
    <col min="15357" max="15357" width="58.1640625" style="73" customWidth="1"/>
    <col min="15358" max="15358" width="30.5" style="73" customWidth="1"/>
    <col min="15359" max="15359" width="27.33203125" style="73" customWidth="1"/>
    <col min="15360" max="15360" width="30.83203125" style="73" customWidth="1"/>
    <col min="15361" max="15361" width="24.83203125" style="73" customWidth="1"/>
    <col min="15362" max="15362" width="27.33203125" style="73" customWidth="1"/>
    <col min="15363" max="15363" width="32" style="73" customWidth="1"/>
    <col min="15364" max="15364" width="25.5" style="73" customWidth="1"/>
    <col min="15365" max="15365" width="27.33203125" style="73" customWidth="1"/>
    <col min="15366" max="15366" width="31.5" style="73" customWidth="1"/>
    <col min="15367" max="15367" width="30.5" style="73" customWidth="1"/>
    <col min="15368" max="15368" width="27.33203125" style="73" customWidth="1"/>
    <col min="15369" max="15369" width="32.5" style="73" customWidth="1"/>
    <col min="15370" max="15370" width="30.5" style="73" customWidth="1"/>
    <col min="15371" max="15371" width="24.33203125" style="73" customWidth="1"/>
    <col min="15372" max="15372" width="28" style="73" customWidth="1"/>
    <col min="15373" max="15373" width="19.5" style="73" customWidth="1"/>
    <col min="15374" max="15610" width="9.1640625" style="73"/>
    <col min="15611" max="15612" width="14.5" style="73" customWidth="1"/>
    <col min="15613" max="15613" width="58.1640625" style="73" customWidth="1"/>
    <col min="15614" max="15614" width="30.5" style="73" customWidth="1"/>
    <col min="15615" max="15615" width="27.33203125" style="73" customWidth="1"/>
    <col min="15616" max="15616" width="30.83203125" style="73" customWidth="1"/>
    <col min="15617" max="15617" width="24.83203125" style="73" customWidth="1"/>
    <col min="15618" max="15618" width="27.33203125" style="73" customWidth="1"/>
    <col min="15619" max="15619" width="32" style="73" customWidth="1"/>
    <col min="15620" max="15620" width="25.5" style="73" customWidth="1"/>
    <col min="15621" max="15621" width="27.33203125" style="73" customWidth="1"/>
    <col min="15622" max="15622" width="31.5" style="73" customWidth="1"/>
    <col min="15623" max="15623" width="30.5" style="73" customWidth="1"/>
    <col min="15624" max="15624" width="27.33203125" style="73" customWidth="1"/>
    <col min="15625" max="15625" width="32.5" style="73" customWidth="1"/>
    <col min="15626" max="15626" width="30.5" style="73" customWidth="1"/>
    <col min="15627" max="15627" width="24.33203125" style="73" customWidth="1"/>
    <col min="15628" max="15628" width="28" style="73" customWidth="1"/>
    <col min="15629" max="15629" width="19.5" style="73" customWidth="1"/>
    <col min="15630" max="15866" width="9.1640625" style="73"/>
    <col min="15867" max="15868" width="14.5" style="73" customWidth="1"/>
    <col min="15869" max="15869" width="58.1640625" style="73" customWidth="1"/>
    <col min="15870" max="15870" width="30.5" style="73" customWidth="1"/>
    <col min="15871" max="15871" width="27.33203125" style="73" customWidth="1"/>
    <col min="15872" max="15872" width="30.83203125" style="73" customWidth="1"/>
    <col min="15873" max="15873" width="24.83203125" style="73" customWidth="1"/>
    <col min="15874" max="15874" width="27.33203125" style="73" customWidth="1"/>
    <col min="15875" max="15875" width="32" style="73" customWidth="1"/>
    <col min="15876" max="15876" width="25.5" style="73" customWidth="1"/>
    <col min="15877" max="15877" width="27.33203125" style="73" customWidth="1"/>
    <col min="15878" max="15878" width="31.5" style="73" customWidth="1"/>
    <col min="15879" max="15879" width="30.5" style="73" customWidth="1"/>
    <col min="15880" max="15880" width="27.33203125" style="73" customWidth="1"/>
    <col min="15881" max="15881" width="32.5" style="73" customWidth="1"/>
    <col min="15882" max="15882" width="30.5" style="73" customWidth="1"/>
    <col min="15883" max="15883" width="24.33203125" style="73" customWidth="1"/>
    <col min="15884" max="15884" width="28" style="73" customWidth="1"/>
    <col min="15885" max="15885" width="19.5" style="73" customWidth="1"/>
    <col min="15886" max="16122" width="9.1640625" style="73"/>
    <col min="16123" max="16124" width="14.5" style="73" customWidth="1"/>
    <col min="16125" max="16125" width="58.1640625" style="73" customWidth="1"/>
    <col min="16126" max="16126" width="30.5" style="73" customWidth="1"/>
    <col min="16127" max="16127" width="27.33203125" style="73" customWidth="1"/>
    <col min="16128" max="16128" width="30.83203125" style="73" customWidth="1"/>
    <col min="16129" max="16129" width="24.83203125" style="73" customWidth="1"/>
    <col min="16130" max="16130" width="27.33203125" style="73" customWidth="1"/>
    <col min="16131" max="16131" width="32" style="73" customWidth="1"/>
    <col min="16132" max="16132" width="25.5" style="73" customWidth="1"/>
    <col min="16133" max="16133" width="27.33203125" style="73" customWidth="1"/>
    <col min="16134" max="16134" width="31.5" style="73" customWidth="1"/>
    <col min="16135" max="16135" width="30.5" style="73" customWidth="1"/>
    <col min="16136" max="16136" width="27.33203125" style="73" customWidth="1"/>
    <col min="16137" max="16137" width="32.5" style="73" customWidth="1"/>
    <col min="16138" max="16138" width="30.5" style="73" customWidth="1"/>
    <col min="16139" max="16139" width="24.33203125" style="73" customWidth="1"/>
    <col min="16140" max="16140" width="28" style="73" customWidth="1"/>
    <col min="16141" max="16141" width="19.5" style="73" customWidth="1"/>
    <col min="16142" max="16384" width="9.1640625" style="73"/>
  </cols>
  <sheetData>
    <row r="1" spans="2:13">
      <c r="C1" s="210"/>
      <c r="D1" s="95"/>
      <c r="E1" s="95"/>
      <c r="F1" s="95"/>
      <c r="G1" s="95"/>
    </row>
    <row r="2" spans="2:13" s="121" customFormat="1">
      <c r="B2" s="1057" t="str">
        <f>Index!B2</f>
        <v>Jaigad Power Transco Ltd</v>
      </c>
      <c r="C2" s="1057"/>
      <c r="D2" s="1057"/>
      <c r="E2" s="1057"/>
      <c r="F2" s="1057"/>
      <c r="G2" s="1057"/>
      <c r="H2" s="1057"/>
      <c r="I2" s="1057"/>
      <c r="J2" s="1057"/>
      <c r="K2" s="1057"/>
      <c r="L2" s="1057"/>
    </row>
    <row r="3" spans="2:13" s="121" customFormat="1">
      <c r="B3" s="1184" t="s">
        <v>435</v>
      </c>
      <c r="C3" s="1184"/>
      <c r="D3" s="1184"/>
      <c r="E3" s="1184"/>
      <c r="F3" s="1184"/>
      <c r="G3" s="1184"/>
      <c r="H3" s="1184"/>
      <c r="I3" s="1184"/>
      <c r="J3" s="1184"/>
      <c r="K3" s="1184"/>
      <c r="L3" s="1184"/>
    </row>
    <row r="4" spans="2:13" s="121" customFormat="1" ht="15" customHeight="1">
      <c r="B4" s="1184" t="s">
        <v>691</v>
      </c>
      <c r="C4" s="1184"/>
      <c r="D4" s="1184"/>
      <c r="E4" s="1184"/>
      <c r="F4" s="1184"/>
      <c r="G4" s="1184"/>
      <c r="H4" s="1184"/>
      <c r="I4" s="1184"/>
      <c r="J4" s="1184"/>
      <c r="K4" s="1184"/>
      <c r="L4" s="1184"/>
    </row>
    <row r="5" spans="2:13" ht="15" customHeight="1">
      <c r="C5" s="213"/>
      <c r="L5" s="214" t="s">
        <v>33</v>
      </c>
    </row>
    <row r="6" spans="2:13" s="96" customFormat="1">
      <c r="B6" s="1185" t="s">
        <v>226</v>
      </c>
      <c r="C6" s="1185" t="s">
        <v>381</v>
      </c>
      <c r="D6" s="1190" t="s">
        <v>382</v>
      </c>
      <c r="E6" s="1191"/>
      <c r="F6" s="1191"/>
      <c r="G6" s="1191"/>
      <c r="H6" s="1191"/>
      <c r="I6" s="1191"/>
      <c r="J6" s="1192"/>
      <c r="K6" s="1193" t="s">
        <v>383</v>
      </c>
      <c r="L6" s="1196" t="s">
        <v>384</v>
      </c>
      <c r="M6" s="215"/>
    </row>
    <row r="7" spans="2:13" s="217" customFormat="1" ht="14.5" customHeight="1">
      <c r="B7" s="1186"/>
      <c r="C7" s="1186"/>
      <c r="D7" s="1199" t="s">
        <v>385</v>
      </c>
      <c r="E7" s="1199"/>
      <c r="F7" s="1199"/>
      <c r="G7" s="1199"/>
      <c r="H7" s="1199" t="s">
        <v>439</v>
      </c>
      <c r="I7" s="1199"/>
      <c r="J7" s="1199"/>
      <c r="K7" s="1194"/>
      <c r="L7" s="1197"/>
      <c r="M7" s="216"/>
    </row>
    <row r="8" spans="2:13" s="220" customFormat="1" ht="64">
      <c r="B8" s="1187"/>
      <c r="C8" s="1186"/>
      <c r="D8" s="218" t="s">
        <v>386</v>
      </c>
      <c r="E8" s="218" t="s">
        <v>387</v>
      </c>
      <c r="F8" s="218" t="s">
        <v>388</v>
      </c>
      <c r="G8" s="218" t="s">
        <v>389</v>
      </c>
      <c r="H8" s="218" t="s">
        <v>387</v>
      </c>
      <c r="I8" s="218" t="s">
        <v>388</v>
      </c>
      <c r="J8" s="218" t="s">
        <v>389</v>
      </c>
      <c r="K8" s="1195"/>
      <c r="L8" s="1197"/>
      <c r="M8" s="219"/>
    </row>
    <row r="9" spans="2:13" s="220" customFormat="1" ht="16">
      <c r="B9" s="1188"/>
      <c r="C9" s="1189"/>
      <c r="D9" s="218"/>
      <c r="E9" s="218" t="s">
        <v>56</v>
      </c>
      <c r="F9" s="218" t="s">
        <v>57</v>
      </c>
      <c r="G9" s="218" t="s">
        <v>390</v>
      </c>
      <c r="H9" s="218" t="s">
        <v>318</v>
      </c>
      <c r="I9" s="218" t="s">
        <v>319</v>
      </c>
      <c r="J9" s="218" t="s">
        <v>538</v>
      </c>
      <c r="K9" s="221" t="s">
        <v>539</v>
      </c>
      <c r="L9" s="1198"/>
      <c r="M9" s="219"/>
    </row>
    <row r="10" spans="2:13" s="227" customFormat="1" ht="16">
      <c r="B10" s="222">
        <v>1</v>
      </c>
      <c r="C10" s="223" t="s">
        <v>441</v>
      </c>
      <c r="D10" s="224"/>
      <c r="E10" s="225"/>
      <c r="F10" s="225"/>
      <c r="G10" s="225"/>
      <c r="H10" s="225"/>
      <c r="I10" s="225"/>
      <c r="J10" s="225"/>
      <c r="K10" s="225"/>
      <c r="L10" s="226"/>
    </row>
    <row r="11" spans="2:13" s="212" customFormat="1" ht="16">
      <c r="B11" s="228">
        <v>1.1000000000000001</v>
      </c>
      <c r="C11" s="229" t="s">
        <v>391</v>
      </c>
      <c r="D11" s="230"/>
      <c r="E11" s="231"/>
      <c r="F11" s="231"/>
      <c r="G11" s="231"/>
      <c r="H11" s="231"/>
      <c r="I11" s="231"/>
      <c r="J11" s="231"/>
      <c r="K11" s="231"/>
      <c r="L11" s="232"/>
    </row>
    <row r="12" spans="2:13" s="212" customFormat="1" ht="16">
      <c r="B12" s="228">
        <v>1.2</v>
      </c>
      <c r="C12" s="233" t="s">
        <v>440</v>
      </c>
      <c r="D12" s="234"/>
      <c r="E12" s="231"/>
      <c r="F12" s="231"/>
      <c r="G12" s="231"/>
      <c r="H12" s="231"/>
      <c r="I12" s="231"/>
      <c r="J12" s="231"/>
      <c r="K12" s="231"/>
      <c r="L12" s="232"/>
    </row>
    <row r="13" spans="2:13" s="212" customFormat="1" ht="16">
      <c r="B13" s="235">
        <v>1.3</v>
      </c>
      <c r="C13" s="233" t="s">
        <v>23</v>
      </c>
      <c r="D13" s="230"/>
      <c r="E13" s="231"/>
      <c r="F13" s="231"/>
      <c r="G13" s="231"/>
      <c r="H13" s="231"/>
      <c r="I13" s="231"/>
      <c r="J13" s="231"/>
      <c r="K13" s="231"/>
      <c r="L13" s="232"/>
    </row>
    <row r="14" spans="2:13" s="227" customFormat="1">
      <c r="B14" s="228"/>
      <c r="C14" s="233"/>
      <c r="D14" s="236"/>
      <c r="E14" s="225"/>
      <c r="F14" s="225"/>
      <c r="G14" s="225"/>
      <c r="H14" s="225"/>
      <c r="I14" s="225"/>
      <c r="J14" s="225"/>
      <c r="K14" s="225"/>
      <c r="L14" s="237"/>
    </row>
    <row r="15" spans="2:13" s="227" customFormat="1" ht="16">
      <c r="B15" s="238">
        <v>2</v>
      </c>
      <c r="C15" s="239" t="s">
        <v>392</v>
      </c>
      <c r="D15" s="236"/>
      <c r="E15" s="225"/>
      <c r="F15" s="225"/>
      <c r="G15" s="225"/>
      <c r="H15" s="225"/>
      <c r="I15" s="225"/>
      <c r="J15" s="225"/>
      <c r="K15" s="225"/>
      <c r="L15" s="237"/>
    </row>
    <row r="16" spans="2:13" s="227" customFormat="1" ht="16">
      <c r="B16" s="240">
        <v>2.1</v>
      </c>
      <c r="C16" s="241" t="s">
        <v>442</v>
      </c>
      <c r="D16" s="236"/>
      <c r="E16" s="225"/>
      <c r="F16" s="225"/>
      <c r="G16" s="225"/>
      <c r="H16" s="225"/>
      <c r="I16" s="225"/>
      <c r="J16" s="225"/>
      <c r="K16" s="225"/>
      <c r="L16" s="237"/>
    </row>
    <row r="17" spans="2:13" s="227" customFormat="1" ht="16">
      <c r="B17" s="240">
        <v>2.2000000000000002</v>
      </c>
      <c r="C17" s="241" t="s">
        <v>443</v>
      </c>
      <c r="D17" s="236"/>
      <c r="E17" s="225"/>
      <c r="F17" s="225"/>
      <c r="G17" s="225"/>
      <c r="H17" s="225"/>
      <c r="I17" s="225"/>
      <c r="J17" s="225"/>
      <c r="K17" s="225"/>
      <c r="L17" s="237"/>
    </row>
    <row r="18" spans="2:13" s="227" customFormat="1" ht="16">
      <c r="B18" s="240">
        <v>2.2999999999999998</v>
      </c>
      <c r="C18" s="241" t="s">
        <v>440</v>
      </c>
      <c r="D18" s="236"/>
      <c r="E18" s="225"/>
      <c r="F18" s="225"/>
      <c r="G18" s="225"/>
      <c r="H18" s="225"/>
      <c r="I18" s="225"/>
      <c r="J18" s="225"/>
      <c r="K18" s="225"/>
      <c r="L18" s="237"/>
    </row>
    <row r="19" spans="2:13" s="115" customFormat="1" ht="16">
      <c r="B19" s="240">
        <v>2.4</v>
      </c>
      <c r="C19" s="233" t="s">
        <v>23</v>
      </c>
      <c r="D19" s="242"/>
      <c r="E19" s="243"/>
      <c r="F19" s="243"/>
      <c r="G19" s="225"/>
      <c r="H19" s="243"/>
      <c r="I19" s="243"/>
      <c r="J19" s="243"/>
      <c r="K19" s="225"/>
      <c r="L19" s="244"/>
      <c r="M19" s="227"/>
    </row>
    <row r="20" spans="2:13" s="115" customFormat="1">
      <c r="B20" s="240"/>
      <c r="C20" s="233"/>
      <c r="D20" s="242"/>
      <c r="E20" s="243"/>
      <c r="F20" s="243"/>
      <c r="G20" s="225"/>
      <c r="H20" s="243"/>
      <c r="I20" s="243"/>
      <c r="J20" s="243"/>
      <c r="K20" s="225"/>
      <c r="L20" s="244"/>
      <c r="M20" s="227"/>
    </row>
    <row r="21" spans="2:13" s="115" customFormat="1" ht="16">
      <c r="B21" s="238">
        <v>3</v>
      </c>
      <c r="C21" s="239" t="s">
        <v>393</v>
      </c>
      <c r="D21" s="242"/>
      <c r="E21" s="243"/>
      <c r="F21" s="243"/>
      <c r="G21" s="243"/>
      <c r="H21" s="243"/>
      <c r="I21" s="243"/>
      <c r="J21" s="243"/>
      <c r="K21" s="243"/>
      <c r="L21" s="244"/>
      <c r="M21" s="227"/>
    </row>
    <row r="22" spans="2:13" ht="16">
      <c r="B22" s="240">
        <v>3.1</v>
      </c>
      <c r="C22" s="241" t="s">
        <v>394</v>
      </c>
      <c r="D22" s="98"/>
      <c r="E22" s="245"/>
      <c r="F22" s="245"/>
      <c r="G22" s="245"/>
      <c r="H22" s="231"/>
      <c r="I22" s="231"/>
      <c r="J22" s="245"/>
      <c r="K22" s="245"/>
      <c r="L22" s="102"/>
    </row>
    <row r="23" spans="2:13" ht="16">
      <c r="B23" s="240">
        <v>3.2</v>
      </c>
      <c r="C23" s="241" t="s">
        <v>395</v>
      </c>
      <c r="D23" s="98"/>
      <c r="E23" s="245"/>
      <c r="F23" s="245"/>
      <c r="G23" s="245"/>
      <c r="H23" s="231"/>
      <c r="I23" s="231"/>
      <c r="J23" s="245"/>
      <c r="K23" s="245"/>
      <c r="L23" s="102"/>
    </row>
    <row r="24" spans="2:13" ht="16">
      <c r="B24" s="240">
        <v>3.3</v>
      </c>
      <c r="C24" s="241" t="s">
        <v>440</v>
      </c>
      <c r="D24" s="98"/>
      <c r="E24" s="245"/>
      <c r="F24" s="245"/>
      <c r="G24" s="245"/>
      <c r="H24" s="231"/>
      <c r="I24" s="231"/>
      <c r="J24" s="245"/>
      <c r="K24" s="245"/>
      <c r="L24" s="102"/>
    </row>
    <row r="25" spans="2:13" s="115" customFormat="1" ht="16">
      <c r="B25" s="240">
        <v>3.4</v>
      </c>
      <c r="C25" s="241" t="s">
        <v>396</v>
      </c>
      <c r="D25" s="242"/>
      <c r="E25" s="243"/>
      <c r="F25" s="243"/>
      <c r="G25" s="243"/>
      <c r="H25" s="243"/>
      <c r="I25" s="243"/>
      <c r="J25" s="243"/>
      <c r="K25" s="243"/>
      <c r="L25" s="244"/>
      <c r="M25" s="227"/>
    </row>
    <row r="26" spans="2:13" s="115" customFormat="1">
      <c r="B26" s="240"/>
      <c r="C26" s="241"/>
      <c r="D26" s="244"/>
      <c r="E26" s="244"/>
      <c r="F26" s="244"/>
      <c r="G26" s="244"/>
      <c r="H26" s="244"/>
      <c r="I26" s="244"/>
      <c r="J26" s="244"/>
      <c r="K26" s="244"/>
      <c r="L26" s="244"/>
      <c r="M26" s="227"/>
    </row>
    <row r="27" spans="2:13" s="115" customFormat="1" ht="16">
      <c r="B27" s="238">
        <v>4</v>
      </c>
      <c r="C27" s="239" t="s">
        <v>151</v>
      </c>
      <c r="D27" s="244"/>
      <c r="E27" s="244"/>
      <c r="F27" s="244"/>
      <c r="G27" s="244"/>
      <c r="H27" s="244"/>
      <c r="I27" s="244"/>
      <c r="J27" s="244"/>
      <c r="K27" s="244"/>
      <c r="L27" s="244"/>
      <c r="M27" s="227"/>
    </row>
    <row r="28" spans="2:13" s="115" customFormat="1">
      <c r="B28" s="240"/>
      <c r="C28" s="241"/>
      <c r="D28" s="242"/>
      <c r="E28" s="243"/>
      <c r="F28" s="243"/>
      <c r="G28" s="225"/>
      <c r="H28" s="243"/>
      <c r="I28" s="243"/>
      <c r="J28" s="243"/>
      <c r="K28" s="225"/>
      <c r="L28" s="244"/>
      <c r="M28" s="227"/>
    </row>
    <row r="29" spans="2:13" s="115" customFormat="1" ht="18" customHeight="1">
      <c r="B29" s="238">
        <v>5</v>
      </c>
      <c r="C29" s="239" t="s">
        <v>444</v>
      </c>
      <c r="D29" s="242"/>
      <c r="E29" s="243"/>
      <c r="F29" s="225"/>
      <c r="G29" s="243"/>
      <c r="H29" s="243"/>
      <c r="I29" s="243"/>
      <c r="J29" s="243"/>
      <c r="K29" s="225"/>
      <c r="L29" s="246"/>
      <c r="M29" s="227"/>
    </row>
    <row r="30" spans="2:13" s="115" customFormat="1" ht="18" customHeight="1">
      <c r="B30" s="240"/>
      <c r="C30" s="241"/>
      <c r="D30" s="242"/>
      <c r="E30" s="243"/>
      <c r="F30" s="225"/>
      <c r="G30" s="243"/>
      <c r="H30" s="243"/>
      <c r="I30" s="243"/>
      <c r="J30" s="243"/>
      <c r="K30" s="225"/>
      <c r="L30" s="246"/>
      <c r="M30" s="227"/>
    </row>
    <row r="31" spans="2:13" ht="16">
      <c r="B31" s="238">
        <v>6</v>
      </c>
      <c r="C31" s="247" t="s">
        <v>397</v>
      </c>
      <c r="D31" s="98"/>
      <c r="E31" s="245"/>
      <c r="F31" s="245"/>
      <c r="G31" s="245"/>
      <c r="H31" s="245"/>
      <c r="I31" s="245"/>
      <c r="J31" s="245"/>
      <c r="K31" s="245"/>
      <c r="L31" s="102"/>
    </row>
    <row r="32" spans="2:13">
      <c r="B32" s="187"/>
      <c r="C32" s="248"/>
      <c r="D32" s="98"/>
      <c r="E32" s="245"/>
      <c r="F32" s="245"/>
      <c r="G32" s="245"/>
      <c r="H32" s="245"/>
      <c r="I32" s="245"/>
      <c r="J32" s="245"/>
      <c r="K32" s="245"/>
      <c r="L32" s="102"/>
    </row>
    <row r="33" spans="2:13" ht="16">
      <c r="B33" s="238">
        <v>7</v>
      </c>
      <c r="C33" s="247" t="s">
        <v>440</v>
      </c>
      <c r="D33" s="98"/>
      <c r="E33" s="245"/>
      <c r="F33" s="245"/>
      <c r="G33" s="245"/>
      <c r="H33" s="245"/>
      <c r="I33" s="245"/>
      <c r="J33" s="245"/>
      <c r="K33" s="245"/>
      <c r="L33" s="102"/>
    </row>
    <row r="34" spans="2:13">
      <c r="B34" s="187"/>
      <c r="C34" s="248"/>
      <c r="D34" s="98"/>
      <c r="E34" s="245"/>
      <c r="F34" s="245"/>
      <c r="G34" s="245"/>
      <c r="H34" s="245"/>
      <c r="I34" s="245"/>
      <c r="J34" s="245"/>
      <c r="K34" s="245"/>
      <c r="L34" s="102"/>
    </row>
    <row r="35" spans="2:13" s="115" customFormat="1" ht="16">
      <c r="B35" s="238">
        <v>8</v>
      </c>
      <c r="C35" s="239" t="s">
        <v>398</v>
      </c>
      <c r="D35" s="249"/>
      <c r="E35" s="243"/>
      <c r="F35" s="243"/>
      <c r="G35" s="225"/>
      <c r="H35" s="243"/>
      <c r="I35" s="243"/>
      <c r="J35" s="243"/>
      <c r="K35" s="225"/>
      <c r="L35" s="246"/>
      <c r="M35" s="227"/>
    </row>
    <row r="37" spans="2:13">
      <c r="C37" s="73" t="s">
        <v>712</v>
      </c>
    </row>
  </sheetData>
  <mergeCells count="10">
    <mergeCell ref="B2:L2"/>
    <mergeCell ref="B3:L3"/>
    <mergeCell ref="B4:L4"/>
    <mergeCell ref="B6:B9"/>
    <mergeCell ref="C6:C9"/>
    <mergeCell ref="D6:J6"/>
    <mergeCell ref="K6:K8"/>
    <mergeCell ref="L6:L9"/>
    <mergeCell ref="D7:G7"/>
    <mergeCell ref="H7:J7"/>
  </mergeCells>
  <printOptions horizontalCentered="1"/>
  <pageMargins left="0.35433070866141703" right="0.23622047244094499" top="0.82677165354330695" bottom="0.62992125984252001" header="0.31496062992126" footer="0.196850393700787"/>
  <pageSetup paperSize="9" scale="59" fitToHeight="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O76"/>
  <sheetViews>
    <sheetView showGridLines="0" view="pageBreakPreview" zoomScale="70" zoomScaleNormal="60" zoomScaleSheetLayoutView="70" workbookViewId="0">
      <selection activeCell="B5" sqref="B5:N5"/>
    </sheetView>
  </sheetViews>
  <sheetFormatPr baseColWidth="10" defaultColWidth="9.1640625" defaultRowHeight="15"/>
  <cols>
    <col min="1" max="1" width="4.6640625" style="176" customWidth="1"/>
    <col min="2" max="2" width="9.1640625" style="176" customWidth="1"/>
    <col min="3" max="3" width="16.5" style="176" customWidth="1"/>
    <col min="4" max="4" width="18.5" style="176" customWidth="1"/>
    <col min="5" max="5" width="20.83203125" style="178" customWidth="1"/>
    <col min="6" max="6" width="16.5" style="178" customWidth="1"/>
    <col min="7" max="7" width="16.5" style="176" customWidth="1"/>
    <col min="8" max="10" width="16.5" style="178" customWidth="1"/>
    <col min="11" max="11" width="16.5" style="176" customWidth="1"/>
    <col min="12" max="12" width="16.5" style="178" customWidth="1"/>
    <col min="13" max="13" width="16.5" style="179" customWidth="1"/>
    <col min="14" max="14" width="23.1640625" style="176" customWidth="1"/>
    <col min="15" max="256" width="9.1640625" style="176"/>
    <col min="257" max="257" width="4.6640625" style="176" customWidth="1"/>
    <col min="258" max="258" width="10.5" style="176" customWidth="1"/>
    <col min="259" max="259" width="49.1640625" style="176" customWidth="1"/>
    <col min="260" max="260" width="68.5" style="176" customWidth="1"/>
    <col min="261" max="261" width="35.5" style="176" customWidth="1"/>
    <col min="262" max="262" width="21" style="176" customWidth="1"/>
    <col min="263" max="263" width="28.5" style="176" customWidth="1"/>
    <col min="264" max="264" width="30.6640625" style="176" customWidth="1"/>
    <col min="265" max="265" width="29.5" style="176" customWidth="1"/>
    <col min="266" max="266" width="33.5" style="176" customWidth="1"/>
    <col min="267" max="267" width="26.5" style="176" customWidth="1"/>
    <col min="268" max="268" width="31.5" style="176" customWidth="1"/>
    <col min="269" max="269" width="34.33203125" style="176" customWidth="1"/>
    <col min="270" max="270" width="45.1640625" style="176" customWidth="1"/>
    <col min="271" max="512" width="9.1640625" style="176"/>
    <col min="513" max="513" width="4.6640625" style="176" customWidth="1"/>
    <col min="514" max="514" width="10.5" style="176" customWidth="1"/>
    <col min="515" max="515" width="49.1640625" style="176" customWidth="1"/>
    <col min="516" max="516" width="68.5" style="176" customWidth="1"/>
    <col min="517" max="517" width="35.5" style="176" customWidth="1"/>
    <col min="518" max="518" width="21" style="176" customWidth="1"/>
    <col min="519" max="519" width="28.5" style="176" customWidth="1"/>
    <col min="520" max="520" width="30.6640625" style="176" customWidth="1"/>
    <col min="521" max="521" width="29.5" style="176" customWidth="1"/>
    <col min="522" max="522" width="33.5" style="176" customWidth="1"/>
    <col min="523" max="523" width="26.5" style="176" customWidth="1"/>
    <col min="524" max="524" width="31.5" style="176" customWidth="1"/>
    <col min="525" max="525" width="34.33203125" style="176" customWidth="1"/>
    <col min="526" max="526" width="45.1640625" style="176" customWidth="1"/>
    <col min="527" max="768" width="9.1640625" style="176"/>
    <col min="769" max="769" width="4.6640625" style="176" customWidth="1"/>
    <col min="770" max="770" width="10.5" style="176" customWidth="1"/>
    <col min="771" max="771" width="49.1640625" style="176" customWidth="1"/>
    <col min="772" max="772" width="68.5" style="176" customWidth="1"/>
    <col min="773" max="773" width="35.5" style="176" customWidth="1"/>
    <col min="774" max="774" width="21" style="176" customWidth="1"/>
    <col min="775" max="775" width="28.5" style="176" customWidth="1"/>
    <col min="776" max="776" width="30.6640625" style="176" customWidth="1"/>
    <col min="777" max="777" width="29.5" style="176" customWidth="1"/>
    <col min="778" max="778" width="33.5" style="176" customWidth="1"/>
    <col min="779" max="779" width="26.5" style="176" customWidth="1"/>
    <col min="780" max="780" width="31.5" style="176" customWidth="1"/>
    <col min="781" max="781" width="34.33203125" style="176" customWidth="1"/>
    <col min="782" max="782" width="45.1640625" style="176" customWidth="1"/>
    <col min="783" max="1024" width="9.1640625" style="176"/>
    <col min="1025" max="1025" width="4.6640625" style="176" customWidth="1"/>
    <col min="1026" max="1026" width="10.5" style="176" customWidth="1"/>
    <col min="1027" max="1027" width="49.1640625" style="176" customWidth="1"/>
    <col min="1028" max="1028" width="68.5" style="176" customWidth="1"/>
    <col min="1029" max="1029" width="35.5" style="176" customWidth="1"/>
    <col min="1030" max="1030" width="21" style="176" customWidth="1"/>
    <col min="1031" max="1031" width="28.5" style="176" customWidth="1"/>
    <col min="1032" max="1032" width="30.6640625" style="176" customWidth="1"/>
    <col min="1033" max="1033" width="29.5" style="176" customWidth="1"/>
    <col min="1034" max="1034" width="33.5" style="176" customWidth="1"/>
    <col min="1035" max="1035" width="26.5" style="176" customWidth="1"/>
    <col min="1036" max="1036" width="31.5" style="176" customWidth="1"/>
    <col min="1037" max="1037" width="34.33203125" style="176" customWidth="1"/>
    <col min="1038" max="1038" width="45.1640625" style="176" customWidth="1"/>
    <col min="1039" max="1280" width="9.1640625" style="176"/>
    <col min="1281" max="1281" width="4.6640625" style="176" customWidth="1"/>
    <col min="1282" max="1282" width="10.5" style="176" customWidth="1"/>
    <col min="1283" max="1283" width="49.1640625" style="176" customWidth="1"/>
    <col min="1284" max="1284" width="68.5" style="176" customWidth="1"/>
    <col min="1285" max="1285" width="35.5" style="176" customWidth="1"/>
    <col min="1286" max="1286" width="21" style="176" customWidth="1"/>
    <col min="1287" max="1287" width="28.5" style="176" customWidth="1"/>
    <col min="1288" max="1288" width="30.6640625" style="176" customWidth="1"/>
    <col min="1289" max="1289" width="29.5" style="176" customWidth="1"/>
    <col min="1290" max="1290" width="33.5" style="176" customWidth="1"/>
    <col min="1291" max="1291" width="26.5" style="176" customWidth="1"/>
    <col min="1292" max="1292" width="31.5" style="176" customWidth="1"/>
    <col min="1293" max="1293" width="34.33203125" style="176" customWidth="1"/>
    <col min="1294" max="1294" width="45.1640625" style="176" customWidth="1"/>
    <col min="1295" max="1536" width="9.1640625" style="176"/>
    <col min="1537" max="1537" width="4.6640625" style="176" customWidth="1"/>
    <col min="1538" max="1538" width="10.5" style="176" customWidth="1"/>
    <col min="1539" max="1539" width="49.1640625" style="176" customWidth="1"/>
    <col min="1540" max="1540" width="68.5" style="176" customWidth="1"/>
    <col min="1541" max="1541" width="35.5" style="176" customWidth="1"/>
    <col min="1542" max="1542" width="21" style="176" customWidth="1"/>
    <col min="1543" max="1543" width="28.5" style="176" customWidth="1"/>
    <col min="1544" max="1544" width="30.6640625" style="176" customWidth="1"/>
    <col min="1545" max="1545" width="29.5" style="176" customWidth="1"/>
    <col min="1546" max="1546" width="33.5" style="176" customWidth="1"/>
    <col min="1547" max="1547" width="26.5" style="176" customWidth="1"/>
    <col min="1548" max="1548" width="31.5" style="176" customWidth="1"/>
    <col min="1549" max="1549" width="34.33203125" style="176" customWidth="1"/>
    <col min="1550" max="1550" width="45.1640625" style="176" customWidth="1"/>
    <col min="1551" max="1792" width="9.1640625" style="176"/>
    <col min="1793" max="1793" width="4.6640625" style="176" customWidth="1"/>
    <col min="1794" max="1794" width="10.5" style="176" customWidth="1"/>
    <col min="1795" max="1795" width="49.1640625" style="176" customWidth="1"/>
    <col min="1796" max="1796" width="68.5" style="176" customWidth="1"/>
    <col min="1797" max="1797" width="35.5" style="176" customWidth="1"/>
    <col min="1798" max="1798" width="21" style="176" customWidth="1"/>
    <col min="1799" max="1799" width="28.5" style="176" customWidth="1"/>
    <col min="1800" max="1800" width="30.6640625" style="176" customWidth="1"/>
    <col min="1801" max="1801" width="29.5" style="176" customWidth="1"/>
    <col min="1802" max="1802" width="33.5" style="176" customWidth="1"/>
    <col min="1803" max="1803" width="26.5" style="176" customWidth="1"/>
    <col min="1804" max="1804" width="31.5" style="176" customWidth="1"/>
    <col min="1805" max="1805" width="34.33203125" style="176" customWidth="1"/>
    <col min="1806" max="1806" width="45.1640625" style="176" customWidth="1"/>
    <col min="1807" max="2048" width="9.1640625" style="176"/>
    <col min="2049" max="2049" width="4.6640625" style="176" customWidth="1"/>
    <col min="2050" max="2050" width="10.5" style="176" customWidth="1"/>
    <col min="2051" max="2051" width="49.1640625" style="176" customWidth="1"/>
    <col min="2052" max="2052" width="68.5" style="176" customWidth="1"/>
    <col min="2053" max="2053" width="35.5" style="176" customWidth="1"/>
    <col min="2054" max="2054" width="21" style="176" customWidth="1"/>
    <col min="2055" max="2055" width="28.5" style="176" customWidth="1"/>
    <col min="2056" max="2056" width="30.6640625" style="176" customWidth="1"/>
    <col min="2057" max="2057" width="29.5" style="176" customWidth="1"/>
    <col min="2058" max="2058" width="33.5" style="176" customWidth="1"/>
    <col min="2059" max="2059" width="26.5" style="176" customWidth="1"/>
    <col min="2060" max="2060" width="31.5" style="176" customWidth="1"/>
    <col min="2061" max="2061" width="34.33203125" style="176" customWidth="1"/>
    <col min="2062" max="2062" width="45.1640625" style="176" customWidth="1"/>
    <col min="2063" max="2304" width="9.1640625" style="176"/>
    <col min="2305" max="2305" width="4.6640625" style="176" customWidth="1"/>
    <col min="2306" max="2306" width="10.5" style="176" customWidth="1"/>
    <col min="2307" max="2307" width="49.1640625" style="176" customWidth="1"/>
    <col min="2308" max="2308" width="68.5" style="176" customWidth="1"/>
    <col min="2309" max="2309" width="35.5" style="176" customWidth="1"/>
    <col min="2310" max="2310" width="21" style="176" customWidth="1"/>
    <col min="2311" max="2311" width="28.5" style="176" customWidth="1"/>
    <col min="2312" max="2312" width="30.6640625" style="176" customWidth="1"/>
    <col min="2313" max="2313" width="29.5" style="176" customWidth="1"/>
    <col min="2314" max="2314" width="33.5" style="176" customWidth="1"/>
    <col min="2315" max="2315" width="26.5" style="176" customWidth="1"/>
    <col min="2316" max="2316" width="31.5" style="176" customWidth="1"/>
    <col min="2317" max="2317" width="34.33203125" style="176" customWidth="1"/>
    <col min="2318" max="2318" width="45.1640625" style="176" customWidth="1"/>
    <col min="2319" max="2560" width="9.1640625" style="176"/>
    <col min="2561" max="2561" width="4.6640625" style="176" customWidth="1"/>
    <col min="2562" max="2562" width="10.5" style="176" customWidth="1"/>
    <col min="2563" max="2563" width="49.1640625" style="176" customWidth="1"/>
    <col min="2564" max="2564" width="68.5" style="176" customWidth="1"/>
    <col min="2565" max="2565" width="35.5" style="176" customWidth="1"/>
    <col min="2566" max="2566" width="21" style="176" customWidth="1"/>
    <col min="2567" max="2567" width="28.5" style="176" customWidth="1"/>
    <col min="2568" max="2568" width="30.6640625" style="176" customWidth="1"/>
    <col min="2569" max="2569" width="29.5" style="176" customWidth="1"/>
    <col min="2570" max="2570" width="33.5" style="176" customWidth="1"/>
    <col min="2571" max="2571" width="26.5" style="176" customWidth="1"/>
    <col min="2572" max="2572" width="31.5" style="176" customWidth="1"/>
    <col min="2573" max="2573" width="34.33203125" style="176" customWidth="1"/>
    <col min="2574" max="2574" width="45.1640625" style="176" customWidth="1"/>
    <col min="2575" max="2816" width="9.1640625" style="176"/>
    <col min="2817" max="2817" width="4.6640625" style="176" customWidth="1"/>
    <col min="2818" max="2818" width="10.5" style="176" customWidth="1"/>
    <col min="2819" max="2819" width="49.1640625" style="176" customWidth="1"/>
    <col min="2820" max="2820" width="68.5" style="176" customWidth="1"/>
    <col min="2821" max="2821" width="35.5" style="176" customWidth="1"/>
    <col min="2822" max="2822" width="21" style="176" customWidth="1"/>
    <col min="2823" max="2823" width="28.5" style="176" customWidth="1"/>
    <col min="2824" max="2824" width="30.6640625" style="176" customWidth="1"/>
    <col min="2825" max="2825" width="29.5" style="176" customWidth="1"/>
    <col min="2826" max="2826" width="33.5" style="176" customWidth="1"/>
    <col min="2827" max="2827" width="26.5" style="176" customWidth="1"/>
    <col min="2828" max="2828" width="31.5" style="176" customWidth="1"/>
    <col min="2829" max="2829" width="34.33203125" style="176" customWidth="1"/>
    <col min="2830" max="2830" width="45.1640625" style="176" customWidth="1"/>
    <col min="2831" max="3072" width="9.1640625" style="176"/>
    <col min="3073" max="3073" width="4.6640625" style="176" customWidth="1"/>
    <col min="3074" max="3074" width="10.5" style="176" customWidth="1"/>
    <col min="3075" max="3075" width="49.1640625" style="176" customWidth="1"/>
    <col min="3076" max="3076" width="68.5" style="176" customWidth="1"/>
    <col min="3077" max="3077" width="35.5" style="176" customWidth="1"/>
    <col min="3078" max="3078" width="21" style="176" customWidth="1"/>
    <col min="3079" max="3079" width="28.5" style="176" customWidth="1"/>
    <col min="3080" max="3080" width="30.6640625" style="176" customWidth="1"/>
    <col min="3081" max="3081" width="29.5" style="176" customWidth="1"/>
    <col min="3082" max="3082" width="33.5" style="176" customWidth="1"/>
    <col min="3083" max="3083" width="26.5" style="176" customWidth="1"/>
    <col min="3084" max="3084" width="31.5" style="176" customWidth="1"/>
    <col min="3085" max="3085" width="34.33203125" style="176" customWidth="1"/>
    <col min="3086" max="3086" width="45.1640625" style="176" customWidth="1"/>
    <col min="3087" max="3328" width="9.1640625" style="176"/>
    <col min="3329" max="3329" width="4.6640625" style="176" customWidth="1"/>
    <col min="3330" max="3330" width="10.5" style="176" customWidth="1"/>
    <col min="3331" max="3331" width="49.1640625" style="176" customWidth="1"/>
    <col min="3332" max="3332" width="68.5" style="176" customWidth="1"/>
    <col min="3333" max="3333" width="35.5" style="176" customWidth="1"/>
    <col min="3334" max="3334" width="21" style="176" customWidth="1"/>
    <col min="3335" max="3335" width="28.5" style="176" customWidth="1"/>
    <col min="3336" max="3336" width="30.6640625" style="176" customWidth="1"/>
    <col min="3337" max="3337" width="29.5" style="176" customWidth="1"/>
    <col min="3338" max="3338" width="33.5" style="176" customWidth="1"/>
    <col min="3339" max="3339" width="26.5" style="176" customWidth="1"/>
    <col min="3340" max="3340" width="31.5" style="176" customWidth="1"/>
    <col min="3341" max="3341" width="34.33203125" style="176" customWidth="1"/>
    <col min="3342" max="3342" width="45.1640625" style="176" customWidth="1"/>
    <col min="3343" max="3584" width="9.1640625" style="176"/>
    <col min="3585" max="3585" width="4.6640625" style="176" customWidth="1"/>
    <col min="3586" max="3586" width="10.5" style="176" customWidth="1"/>
    <col min="3587" max="3587" width="49.1640625" style="176" customWidth="1"/>
    <col min="3588" max="3588" width="68.5" style="176" customWidth="1"/>
    <col min="3589" max="3589" width="35.5" style="176" customWidth="1"/>
    <col min="3590" max="3590" width="21" style="176" customWidth="1"/>
    <col min="3591" max="3591" width="28.5" style="176" customWidth="1"/>
    <col min="3592" max="3592" width="30.6640625" style="176" customWidth="1"/>
    <col min="3593" max="3593" width="29.5" style="176" customWidth="1"/>
    <col min="3594" max="3594" width="33.5" style="176" customWidth="1"/>
    <col min="3595" max="3595" width="26.5" style="176" customWidth="1"/>
    <col min="3596" max="3596" width="31.5" style="176" customWidth="1"/>
    <col min="3597" max="3597" width="34.33203125" style="176" customWidth="1"/>
    <col min="3598" max="3598" width="45.1640625" style="176" customWidth="1"/>
    <col min="3599" max="3840" width="9.1640625" style="176"/>
    <col min="3841" max="3841" width="4.6640625" style="176" customWidth="1"/>
    <col min="3842" max="3842" width="10.5" style="176" customWidth="1"/>
    <col min="3843" max="3843" width="49.1640625" style="176" customWidth="1"/>
    <col min="3844" max="3844" width="68.5" style="176" customWidth="1"/>
    <col min="3845" max="3845" width="35.5" style="176" customWidth="1"/>
    <col min="3846" max="3846" width="21" style="176" customWidth="1"/>
    <col min="3847" max="3847" width="28.5" style="176" customWidth="1"/>
    <col min="3848" max="3848" width="30.6640625" style="176" customWidth="1"/>
    <col min="3849" max="3849" width="29.5" style="176" customWidth="1"/>
    <col min="3850" max="3850" width="33.5" style="176" customWidth="1"/>
    <col min="3851" max="3851" width="26.5" style="176" customWidth="1"/>
    <col min="3852" max="3852" width="31.5" style="176" customWidth="1"/>
    <col min="3853" max="3853" width="34.33203125" style="176" customWidth="1"/>
    <col min="3854" max="3854" width="45.1640625" style="176" customWidth="1"/>
    <col min="3855" max="4096" width="9.1640625" style="176"/>
    <col min="4097" max="4097" width="4.6640625" style="176" customWidth="1"/>
    <col min="4098" max="4098" width="10.5" style="176" customWidth="1"/>
    <col min="4099" max="4099" width="49.1640625" style="176" customWidth="1"/>
    <col min="4100" max="4100" width="68.5" style="176" customWidth="1"/>
    <col min="4101" max="4101" width="35.5" style="176" customWidth="1"/>
    <col min="4102" max="4102" width="21" style="176" customWidth="1"/>
    <col min="4103" max="4103" width="28.5" style="176" customWidth="1"/>
    <col min="4104" max="4104" width="30.6640625" style="176" customWidth="1"/>
    <col min="4105" max="4105" width="29.5" style="176" customWidth="1"/>
    <col min="4106" max="4106" width="33.5" style="176" customWidth="1"/>
    <col min="4107" max="4107" width="26.5" style="176" customWidth="1"/>
    <col min="4108" max="4108" width="31.5" style="176" customWidth="1"/>
    <col min="4109" max="4109" width="34.33203125" style="176" customWidth="1"/>
    <col min="4110" max="4110" width="45.1640625" style="176" customWidth="1"/>
    <col min="4111" max="4352" width="9.1640625" style="176"/>
    <col min="4353" max="4353" width="4.6640625" style="176" customWidth="1"/>
    <col min="4354" max="4354" width="10.5" style="176" customWidth="1"/>
    <col min="4355" max="4355" width="49.1640625" style="176" customWidth="1"/>
    <col min="4356" max="4356" width="68.5" style="176" customWidth="1"/>
    <col min="4357" max="4357" width="35.5" style="176" customWidth="1"/>
    <col min="4358" max="4358" width="21" style="176" customWidth="1"/>
    <col min="4359" max="4359" width="28.5" style="176" customWidth="1"/>
    <col min="4360" max="4360" width="30.6640625" style="176" customWidth="1"/>
    <col min="4361" max="4361" width="29.5" style="176" customWidth="1"/>
    <col min="4362" max="4362" width="33.5" style="176" customWidth="1"/>
    <col min="4363" max="4363" width="26.5" style="176" customWidth="1"/>
    <col min="4364" max="4364" width="31.5" style="176" customWidth="1"/>
    <col min="4365" max="4365" width="34.33203125" style="176" customWidth="1"/>
    <col min="4366" max="4366" width="45.1640625" style="176" customWidth="1"/>
    <col min="4367" max="4608" width="9.1640625" style="176"/>
    <col min="4609" max="4609" width="4.6640625" style="176" customWidth="1"/>
    <col min="4610" max="4610" width="10.5" style="176" customWidth="1"/>
    <col min="4611" max="4611" width="49.1640625" style="176" customWidth="1"/>
    <col min="4612" max="4612" width="68.5" style="176" customWidth="1"/>
    <col min="4613" max="4613" width="35.5" style="176" customWidth="1"/>
    <col min="4614" max="4614" width="21" style="176" customWidth="1"/>
    <col min="4615" max="4615" width="28.5" style="176" customWidth="1"/>
    <col min="4616" max="4616" width="30.6640625" style="176" customWidth="1"/>
    <col min="4617" max="4617" width="29.5" style="176" customWidth="1"/>
    <col min="4618" max="4618" width="33.5" style="176" customWidth="1"/>
    <col min="4619" max="4619" width="26.5" style="176" customWidth="1"/>
    <col min="4620" max="4620" width="31.5" style="176" customWidth="1"/>
    <col min="4621" max="4621" width="34.33203125" style="176" customWidth="1"/>
    <col min="4622" max="4622" width="45.1640625" style="176" customWidth="1"/>
    <col min="4623" max="4864" width="9.1640625" style="176"/>
    <col min="4865" max="4865" width="4.6640625" style="176" customWidth="1"/>
    <col min="4866" max="4866" width="10.5" style="176" customWidth="1"/>
    <col min="4867" max="4867" width="49.1640625" style="176" customWidth="1"/>
    <col min="4868" max="4868" width="68.5" style="176" customWidth="1"/>
    <col min="4869" max="4869" width="35.5" style="176" customWidth="1"/>
    <col min="4870" max="4870" width="21" style="176" customWidth="1"/>
    <col min="4871" max="4871" width="28.5" style="176" customWidth="1"/>
    <col min="4872" max="4872" width="30.6640625" style="176" customWidth="1"/>
    <col min="4873" max="4873" width="29.5" style="176" customWidth="1"/>
    <col min="4874" max="4874" width="33.5" style="176" customWidth="1"/>
    <col min="4875" max="4875" width="26.5" style="176" customWidth="1"/>
    <col min="4876" max="4876" width="31.5" style="176" customWidth="1"/>
    <col min="4877" max="4877" width="34.33203125" style="176" customWidth="1"/>
    <col min="4878" max="4878" width="45.1640625" style="176" customWidth="1"/>
    <col min="4879" max="5120" width="9.1640625" style="176"/>
    <col min="5121" max="5121" width="4.6640625" style="176" customWidth="1"/>
    <col min="5122" max="5122" width="10.5" style="176" customWidth="1"/>
    <col min="5123" max="5123" width="49.1640625" style="176" customWidth="1"/>
    <col min="5124" max="5124" width="68.5" style="176" customWidth="1"/>
    <col min="5125" max="5125" width="35.5" style="176" customWidth="1"/>
    <col min="5126" max="5126" width="21" style="176" customWidth="1"/>
    <col min="5127" max="5127" width="28.5" style="176" customWidth="1"/>
    <col min="5128" max="5128" width="30.6640625" style="176" customWidth="1"/>
    <col min="5129" max="5129" width="29.5" style="176" customWidth="1"/>
    <col min="5130" max="5130" width="33.5" style="176" customWidth="1"/>
    <col min="5131" max="5131" width="26.5" style="176" customWidth="1"/>
    <col min="5132" max="5132" width="31.5" style="176" customWidth="1"/>
    <col min="5133" max="5133" width="34.33203125" style="176" customWidth="1"/>
    <col min="5134" max="5134" width="45.1640625" style="176" customWidth="1"/>
    <col min="5135" max="5376" width="9.1640625" style="176"/>
    <col min="5377" max="5377" width="4.6640625" style="176" customWidth="1"/>
    <col min="5378" max="5378" width="10.5" style="176" customWidth="1"/>
    <col min="5379" max="5379" width="49.1640625" style="176" customWidth="1"/>
    <col min="5380" max="5380" width="68.5" style="176" customWidth="1"/>
    <col min="5381" max="5381" width="35.5" style="176" customWidth="1"/>
    <col min="5382" max="5382" width="21" style="176" customWidth="1"/>
    <col min="5383" max="5383" width="28.5" style="176" customWidth="1"/>
    <col min="5384" max="5384" width="30.6640625" style="176" customWidth="1"/>
    <col min="5385" max="5385" width="29.5" style="176" customWidth="1"/>
    <col min="5386" max="5386" width="33.5" style="176" customWidth="1"/>
    <col min="5387" max="5387" width="26.5" style="176" customWidth="1"/>
    <col min="5388" max="5388" width="31.5" style="176" customWidth="1"/>
    <col min="5389" max="5389" width="34.33203125" style="176" customWidth="1"/>
    <col min="5390" max="5390" width="45.1640625" style="176" customWidth="1"/>
    <col min="5391" max="5632" width="9.1640625" style="176"/>
    <col min="5633" max="5633" width="4.6640625" style="176" customWidth="1"/>
    <col min="5634" max="5634" width="10.5" style="176" customWidth="1"/>
    <col min="5635" max="5635" width="49.1640625" style="176" customWidth="1"/>
    <col min="5636" max="5636" width="68.5" style="176" customWidth="1"/>
    <col min="5637" max="5637" width="35.5" style="176" customWidth="1"/>
    <col min="5638" max="5638" width="21" style="176" customWidth="1"/>
    <col min="5639" max="5639" width="28.5" style="176" customWidth="1"/>
    <col min="5640" max="5640" width="30.6640625" style="176" customWidth="1"/>
    <col min="5641" max="5641" width="29.5" style="176" customWidth="1"/>
    <col min="5642" max="5642" width="33.5" style="176" customWidth="1"/>
    <col min="5643" max="5643" width="26.5" style="176" customWidth="1"/>
    <col min="5644" max="5644" width="31.5" style="176" customWidth="1"/>
    <col min="5645" max="5645" width="34.33203125" style="176" customWidth="1"/>
    <col min="5646" max="5646" width="45.1640625" style="176" customWidth="1"/>
    <col min="5647" max="5888" width="9.1640625" style="176"/>
    <col min="5889" max="5889" width="4.6640625" style="176" customWidth="1"/>
    <col min="5890" max="5890" width="10.5" style="176" customWidth="1"/>
    <col min="5891" max="5891" width="49.1640625" style="176" customWidth="1"/>
    <col min="5892" max="5892" width="68.5" style="176" customWidth="1"/>
    <col min="5893" max="5893" width="35.5" style="176" customWidth="1"/>
    <col min="5894" max="5894" width="21" style="176" customWidth="1"/>
    <col min="5895" max="5895" width="28.5" style="176" customWidth="1"/>
    <col min="5896" max="5896" width="30.6640625" style="176" customWidth="1"/>
    <col min="5897" max="5897" width="29.5" style="176" customWidth="1"/>
    <col min="5898" max="5898" width="33.5" style="176" customWidth="1"/>
    <col min="5899" max="5899" width="26.5" style="176" customWidth="1"/>
    <col min="5900" max="5900" width="31.5" style="176" customWidth="1"/>
    <col min="5901" max="5901" width="34.33203125" style="176" customWidth="1"/>
    <col min="5902" max="5902" width="45.1640625" style="176" customWidth="1"/>
    <col min="5903" max="6144" width="9.1640625" style="176"/>
    <col min="6145" max="6145" width="4.6640625" style="176" customWidth="1"/>
    <col min="6146" max="6146" width="10.5" style="176" customWidth="1"/>
    <col min="6147" max="6147" width="49.1640625" style="176" customWidth="1"/>
    <col min="6148" max="6148" width="68.5" style="176" customWidth="1"/>
    <col min="6149" max="6149" width="35.5" style="176" customWidth="1"/>
    <col min="6150" max="6150" width="21" style="176" customWidth="1"/>
    <col min="6151" max="6151" width="28.5" style="176" customWidth="1"/>
    <col min="6152" max="6152" width="30.6640625" style="176" customWidth="1"/>
    <col min="6153" max="6153" width="29.5" style="176" customWidth="1"/>
    <col min="6154" max="6154" width="33.5" style="176" customWidth="1"/>
    <col min="6155" max="6155" width="26.5" style="176" customWidth="1"/>
    <col min="6156" max="6156" width="31.5" style="176" customWidth="1"/>
    <col min="6157" max="6157" width="34.33203125" style="176" customWidth="1"/>
    <col min="6158" max="6158" width="45.1640625" style="176" customWidth="1"/>
    <col min="6159" max="6400" width="9.1640625" style="176"/>
    <col min="6401" max="6401" width="4.6640625" style="176" customWidth="1"/>
    <col min="6402" max="6402" width="10.5" style="176" customWidth="1"/>
    <col min="6403" max="6403" width="49.1640625" style="176" customWidth="1"/>
    <col min="6404" max="6404" width="68.5" style="176" customWidth="1"/>
    <col min="6405" max="6405" width="35.5" style="176" customWidth="1"/>
    <col min="6406" max="6406" width="21" style="176" customWidth="1"/>
    <col min="6407" max="6407" width="28.5" style="176" customWidth="1"/>
    <col min="6408" max="6408" width="30.6640625" style="176" customWidth="1"/>
    <col min="6409" max="6409" width="29.5" style="176" customWidth="1"/>
    <col min="6410" max="6410" width="33.5" style="176" customWidth="1"/>
    <col min="6411" max="6411" width="26.5" style="176" customWidth="1"/>
    <col min="6412" max="6412" width="31.5" style="176" customWidth="1"/>
    <col min="6413" max="6413" width="34.33203125" style="176" customWidth="1"/>
    <col min="6414" max="6414" width="45.1640625" style="176" customWidth="1"/>
    <col min="6415" max="6656" width="9.1640625" style="176"/>
    <col min="6657" max="6657" width="4.6640625" style="176" customWidth="1"/>
    <col min="6658" max="6658" width="10.5" style="176" customWidth="1"/>
    <col min="6659" max="6659" width="49.1640625" style="176" customWidth="1"/>
    <col min="6660" max="6660" width="68.5" style="176" customWidth="1"/>
    <col min="6661" max="6661" width="35.5" style="176" customWidth="1"/>
    <col min="6662" max="6662" width="21" style="176" customWidth="1"/>
    <col min="6663" max="6663" width="28.5" style="176" customWidth="1"/>
    <col min="6664" max="6664" width="30.6640625" style="176" customWidth="1"/>
    <col min="6665" max="6665" width="29.5" style="176" customWidth="1"/>
    <col min="6666" max="6666" width="33.5" style="176" customWidth="1"/>
    <col min="6667" max="6667" width="26.5" style="176" customWidth="1"/>
    <col min="6668" max="6668" width="31.5" style="176" customWidth="1"/>
    <col min="6669" max="6669" width="34.33203125" style="176" customWidth="1"/>
    <col min="6670" max="6670" width="45.1640625" style="176" customWidth="1"/>
    <col min="6671" max="6912" width="9.1640625" style="176"/>
    <col min="6913" max="6913" width="4.6640625" style="176" customWidth="1"/>
    <col min="6914" max="6914" width="10.5" style="176" customWidth="1"/>
    <col min="6915" max="6915" width="49.1640625" style="176" customWidth="1"/>
    <col min="6916" max="6916" width="68.5" style="176" customWidth="1"/>
    <col min="6917" max="6917" width="35.5" style="176" customWidth="1"/>
    <col min="6918" max="6918" width="21" style="176" customWidth="1"/>
    <col min="6919" max="6919" width="28.5" style="176" customWidth="1"/>
    <col min="6920" max="6920" width="30.6640625" style="176" customWidth="1"/>
    <col min="6921" max="6921" width="29.5" style="176" customWidth="1"/>
    <col min="6922" max="6922" width="33.5" style="176" customWidth="1"/>
    <col min="6923" max="6923" width="26.5" style="176" customWidth="1"/>
    <col min="6924" max="6924" width="31.5" style="176" customWidth="1"/>
    <col min="6925" max="6925" width="34.33203125" style="176" customWidth="1"/>
    <col min="6926" max="6926" width="45.1640625" style="176" customWidth="1"/>
    <col min="6927" max="7168" width="9.1640625" style="176"/>
    <col min="7169" max="7169" width="4.6640625" style="176" customWidth="1"/>
    <col min="7170" max="7170" width="10.5" style="176" customWidth="1"/>
    <col min="7171" max="7171" width="49.1640625" style="176" customWidth="1"/>
    <col min="7172" max="7172" width="68.5" style="176" customWidth="1"/>
    <col min="7173" max="7173" width="35.5" style="176" customWidth="1"/>
    <col min="7174" max="7174" width="21" style="176" customWidth="1"/>
    <col min="7175" max="7175" width="28.5" style="176" customWidth="1"/>
    <col min="7176" max="7176" width="30.6640625" style="176" customWidth="1"/>
    <col min="7177" max="7177" width="29.5" style="176" customWidth="1"/>
    <col min="7178" max="7178" width="33.5" style="176" customWidth="1"/>
    <col min="7179" max="7179" width="26.5" style="176" customWidth="1"/>
    <col min="7180" max="7180" width="31.5" style="176" customWidth="1"/>
    <col min="7181" max="7181" width="34.33203125" style="176" customWidth="1"/>
    <col min="7182" max="7182" width="45.1640625" style="176" customWidth="1"/>
    <col min="7183" max="7424" width="9.1640625" style="176"/>
    <col min="7425" max="7425" width="4.6640625" style="176" customWidth="1"/>
    <col min="7426" max="7426" width="10.5" style="176" customWidth="1"/>
    <col min="7427" max="7427" width="49.1640625" style="176" customWidth="1"/>
    <col min="7428" max="7428" width="68.5" style="176" customWidth="1"/>
    <col min="7429" max="7429" width="35.5" style="176" customWidth="1"/>
    <col min="7430" max="7430" width="21" style="176" customWidth="1"/>
    <col min="7431" max="7431" width="28.5" style="176" customWidth="1"/>
    <col min="7432" max="7432" width="30.6640625" style="176" customWidth="1"/>
    <col min="7433" max="7433" width="29.5" style="176" customWidth="1"/>
    <col min="7434" max="7434" width="33.5" style="176" customWidth="1"/>
    <col min="7435" max="7435" width="26.5" style="176" customWidth="1"/>
    <col min="7436" max="7436" width="31.5" style="176" customWidth="1"/>
    <col min="7437" max="7437" width="34.33203125" style="176" customWidth="1"/>
    <col min="7438" max="7438" width="45.1640625" style="176" customWidth="1"/>
    <col min="7439" max="7680" width="9.1640625" style="176"/>
    <col min="7681" max="7681" width="4.6640625" style="176" customWidth="1"/>
    <col min="7682" max="7682" width="10.5" style="176" customWidth="1"/>
    <col min="7683" max="7683" width="49.1640625" style="176" customWidth="1"/>
    <col min="7684" max="7684" width="68.5" style="176" customWidth="1"/>
    <col min="7685" max="7685" width="35.5" style="176" customWidth="1"/>
    <col min="7686" max="7686" width="21" style="176" customWidth="1"/>
    <col min="7687" max="7687" width="28.5" style="176" customWidth="1"/>
    <col min="7688" max="7688" width="30.6640625" style="176" customWidth="1"/>
    <col min="7689" max="7689" width="29.5" style="176" customWidth="1"/>
    <col min="7690" max="7690" width="33.5" style="176" customWidth="1"/>
    <col min="7691" max="7691" width="26.5" style="176" customWidth="1"/>
    <col min="7692" max="7692" width="31.5" style="176" customWidth="1"/>
    <col min="7693" max="7693" width="34.33203125" style="176" customWidth="1"/>
    <col min="7694" max="7694" width="45.1640625" style="176" customWidth="1"/>
    <col min="7695" max="7936" width="9.1640625" style="176"/>
    <col min="7937" max="7937" width="4.6640625" style="176" customWidth="1"/>
    <col min="7938" max="7938" width="10.5" style="176" customWidth="1"/>
    <col min="7939" max="7939" width="49.1640625" style="176" customWidth="1"/>
    <col min="7940" max="7940" width="68.5" style="176" customWidth="1"/>
    <col min="7941" max="7941" width="35.5" style="176" customWidth="1"/>
    <col min="7942" max="7942" width="21" style="176" customWidth="1"/>
    <col min="7943" max="7943" width="28.5" style="176" customWidth="1"/>
    <col min="7944" max="7944" width="30.6640625" style="176" customWidth="1"/>
    <col min="7945" max="7945" width="29.5" style="176" customWidth="1"/>
    <col min="7946" max="7946" width="33.5" style="176" customWidth="1"/>
    <col min="7947" max="7947" width="26.5" style="176" customWidth="1"/>
    <col min="7948" max="7948" width="31.5" style="176" customWidth="1"/>
    <col min="7949" max="7949" width="34.33203125" style="176" customWidth="1"/>
    <col min="7950" max="7950" width="45.1640625" style="176" customWidth="1"/>
    <col min="7951" max="8192" width="9.1640625" style="176"/>
    <col min="8193" max="8193" width="4.6640625" style="176" customWidth="1"/>
    <col min="8194" max="8194" width="10.5" style="176" customWidth="1"/>
    <col min="8195" max="8195" width="49.1640625" style="176" customWidth="1"/>
    <col min="8196" max="8196" width="68.5" style="176" customWidth="1"/>
    <col min="8197" max="8197" width="35.5" style="176" customWidth="1"/>
    <col min="8198" max="8198" width="21" style="176" customWidth="1"/>
    <col min="8199" max="8199" width="28.5" style="176" customWidth="1"/>
    <col min="8200" max="8200" width="30.6640625" style="176" customWidth="1"/>
    <col min="8201" max="8201" width="29.5" style="176" customWidth="1"/>
    <col min="8202" max="8202" width="33.5" style="176" customWidth="1"/>
    <col min="8203" max="8203" width="26.5" style="176" customWidth="1"/>
    <col min="8204" max="8204" width="31.5" style="176" customWidth="1"/>
    <col min="8205" max="8205" width="34.33203125" style="176" customWidth="1"/>
    <col min="8206" max="8206" width="45.1640625" style="176" customWidth="1"/>
    <col min="8207" max="8448" width="9.1640625" style="176"/>
    <col min="8449" max="8449" width="4.6640625" style="176" customWidth="1"/>
    <col min="8450" max="8450" width="10.5" style="176" customWidth="1"/>
    <col min="8451" max="8451" width="49.1640625" style="176" customWidth="1"/>
    <col min="8452" max="8452" width="68.5" style="176" customWidth="1"/>
    <col min="8453" max="8453" width="35.5" style="176" customWidth="1"/>
    <col min="8454" max="8454" width="21" style="176" customWidth="1"/>
    <col min="8455" max="8455" width="28.5" style="176" customWidth="1"/>
    <col min="8456" max="8456" width="30.6640625" style="176" customWidth="1"/>
    <col min="8457" max="8457" width="29.5" style="176" customWidth="1"/>
    <col min="8458" max="8458" width="33.5" style="176" customWidth="1"/>
    <col min="8459" max="8459" width="26.5" style="176" customWidth="1"/>
    <col min="8460" max="8460" width="31.5" style="176" customWidth="1"/>
    <col min="8461" max="8461" width="34.33203125" style="176" customWidth="1"/>
    <col min="8462" max="8462" width="45.1640625" style="176" customWidth="1"/>
    <col min="8463" max="8704" width="9.1640625" style="176"/>
    <col min="8705" max="8705" width="4.6640625" style="176" customWidth="1"/>
    <col min="8706" max="8706" width="10.5" style="176" customWidth="1"/>
    <col min="8707" max="8707" width="49.1640625" style="176" customWidth="1"/>
    <col min="8708" max="8708" width="68.5" style="176" customWidth="1"/>
    <col min="8709" max="8709" width="35.5" style="176" customWidth="1"/>
    <col min="8710" max="8710" width="21" style="176" customWidth="1"/>
    <col min="8711" max="8711" width="28.5" style="176" customWidth="1"/>
    <col min="8712" max="8712" width="30.6640625" style="176" customWidth="1"/>
    <col min="8713" max="8713" width="29.5" style="176" customWidth="1"/>
    <col min="8714" max="8714" width="33.5" style="176" customWidth="1"/>
    <col min="8715" max="8715" width="26.5" style="176" customWidth="1"/>
    <col min="8716" max="8716" width="31.5" style="176" customWidth="1"/>
    <col min="8717" max="8717" width="34.33203125" style="176" customWidth="1"/>
    <col min="8718" max="8718" width="45.1640625" style="176" customWidth="1"/>
    <col min="8719" max="8960" width="9.1640625" style="176"/>
    <col min="8961" max="8961" width="4.6640625" style="176" customWidth="1"/>
    <col min="8962" max="8962" width="10.5" style="176" customWidth="1"/>
    <col min="8963" max="8963" width="49.1640625" style="176" customWidth="1"/>
    <col min="8964" max="8964" width="68.5" style="176" customWidth="1"/>
    <col min="8965" max="8965" width="35.5" style="176" customWidth="1"/>
    <col min="8966" max="8966" width="21" style="176" customWidth="1"/>
    <col min="8967" max="8967" width="28.5" style="176" customWidth="1"/>
    <col min="8968" max="8968" width="30.6640625" style="176" customWidth="1"/>
    <col min="8969" max="8969" width="29.5" style="176" customWidth="1"/>
    <col min="8970" max="8970" width="33.5" style="176" customWidth="1"/>
    <col min="8971" max="8971" width="26.5" style="176" customWidth="1"/>
    <col min="8972" max="8972" width="31.5" style="176" customWidth="1"/>
    <col min="8973" max="8973" width="34.33203125" style="176" customWidth="1"/>
    <col min="8974" max="8974" width="45.1640625" style="176" customWidth="1"/>
    <col min="8975" max="9216" width="9.1640625" style="176"/>
    <col min="9217" max="9217" width="4.6640625" style="176" customWidth="1"/>
    <col min="9218" max="9218" width="10.5" style="176" customWidth="1"/>
    <col min="9219" max="9219" width="49.1640625" style="176" customWidth="1"/>
    <col min="9220" max="9220" width="68.5" style="176" customWidth="1"/>
    <col min="9221" max="9221" width="35.5" style="176" customWidth="1"/>
    <col min="9222" max="9222" width="21" style="176" customWidth="1"/>
    <col min="9223" max="9223" width="28.5" style="176" customWidth="1"/>
    <col min="9224" max="9224" width="30.6640625" style="176" customWidth="1"/>
    <col min="9225" max="9225" width="29.5" style="176" customWidth="1"/>
    <col min="9226" max="9226" width="33.5" style="176" customWidth="1"/>
    <col min="9227" max="9227" width="26.5" style="176" customWidth="1"/>
    <col min="9228" max="9228" width="31.5" style="176" customWidth="1"/>
    <col min="9229" max="9229" width="34.33203125" style="176" customWidth="1"/>
    <col min="9230" max="9230" width="45.1640625" style="176" customWidth="1"/>
    <col min="9231" max="9472" width="9.1640625" style="176"/>
    <col min="9473" max="9473" width="4.6640625" style="176" customWidth="1"/>
    <col min="9474" max="9474" width="10.5" style="176" customWidth="1"/>
    <col min="9475" max="9475" width="49.1640625" style="176" customWidth="1"/>
    <col min="9476" max="9476" width="68.5" style="176" customWidth="1"/>
    <col min="9477" max="9477" width="35.5" style="176" customWidth="1"/>
    <col min="9478" max="9478" width="21" style="176" customWidth="1"/>
    <col min="9479" max="9479" width="28.5" style="176" customWidth="1"/>
    <col min="9480" max="9480" width="30.6640625" style="176" customWidth="1"/>
    <col min="9481" max="9481" width="29.5" style="176" customWidth="1"/>
    <col min="9482" max="9482" width="33.5" style="176" customWidth="1"/>
    <col min="9483" max="9483" width="26.5" style="176" customWidth="1"/>
    <col min="9484" max="9484" width="31.5" style="176" customWidth="1"/>
    <col min="9485" max="9485" width="34.33203125" style="176" customWidth="1"/>
    <col min="9486" max="9486" width="45.1640625" style="176" customWidth="1"/>
    <col min="9487" max="9728" width="9.1640625" style="176"/>
    <col min="9729" max="9729" width="4.6640625" style="176" customWidth="1"/>
    <col min="9730" max="9730" width="10.5" style="176" customWidth="1"/>
    <col min="9731" max="9731" width="49.1640625" style="176" customWidth="1"/>
    <col min="9732" max="9732" width="68.5" style="176" customWidth="1"/>
    <col min="9733" max="9733" width="35.5" style="176" customWidth="1"/>
    <col min="9734" max="9734" width="21" style="176" customWidth="1"/>
    <col min="9735" max="9735" width="28.5" style="176" customWidth="1"/>
    <col min="9736" max="9736" width="30.6640625" style="176" customWidth="1"/>
    <col min="9737" max="9737" width="29.5" style="176" customWidth="1"/>
    <col min="9738" max="9738" width="33.5" style="176" customWidth="1"/>
    <col min="9739" max="9739" width="26.5" style="176" customWidth="1"/>
    <col min="9740" max="9740" width="31.5" style="176" customWidth="1"/>
    <col min="9741" max="9741" width="34.33203125" style="176" customWidth="1"/>
    <col min="9742" max="9742" width="45.1640625" style="176" customWidth="1"/>
    <col min="9743" max="9984" width="9.1640625" style="176"/>
    <col min="9985" max="9985" width="4.6640625" style="176" customWidth="1"/>
    <col min="9986" max="9986" width="10.5" style="176" customWidth="1"/>
    <col min="9987" max="9987" width="49.1640625" style="176" customWidth="1"/>
    <col min="9988" max="9988" width="68.5" style="176" customWidth="1"/>
    <col min="9989" max="9989" width="35.5" style="176" customWidth="1"/>
    <col min="9990" max="9990" width="21" style="176" customWidth="1"/>
    <col min="9991" max="9991" width="28.5" style="176" customWidth="1"/>
    <col min="9992" max="9992" width="30.6640625" style="176" customWidth="1"/>
    <col min="9993" max="9993" width="29.5" style="176" customWidth="1"/>
    <col min="9994" max="9994" width="33.5" style="176" customWidth="1"/>
    <col min="9995" max="9995" width="26.5" style="176" customWidth="1"/>
    <col min="9996" max="9996" width="31.5" style="176" customWidth="1"/>
    <col min="9997" max="9997" width="34.33203125" style="176" customWidth="1"/>
    <col min="9998" max="9998" width="45.1640625" style="176" customWidth="1"/>
    <col min="9999" max="10240" width="9.1640625" style="176"/>
    <col min="10241" max="10241" width="4.6640625" style="176" customWidth="1"/>
    <col min="10242" max="10242" width="10.5" style="176" customWidth="1"/>
    <col min="10243" max="10243" width="49.1640625" style="176" customWidth="1"/>
    <col min="10244" max="10244" width="68.5" style="176" customWidth="1"/>
    <col min="10245" max="10245" width="35.5" style="176" customWidth="1"/>
    <col min="10246" max="10246" width="21" style="176" customWidth="1"/>
    <col min="10247" max="10247" width="28.5" style="176" customWidth="1"/>
    <col min="10248" max="10248" width="30.6640625" style="176" customWidth="1"/>
    <col min="10249" max="10249" width="29.5" style="176" customWidth="1"/>
    <col min="10250" max="10250" width="33.5" style="176" customWidth="1"/>
    <col min="10251" max="10251" width="26.5" style="176" customWidth="1"/>
    <col min="10252" max="10252" width="31.5" style="176" customWidth="1"/>
    <col min="10253" max="10253" width="34.33203125" style="176" customWidth="1"/>
    <col min="10254" max="10254" width="45.1640625" style="176" customWidth="1"/>
    <col min="10255" max="10496" width="9.1640625" style="176"/>
    <col min="10497" max="10497" width="4.6640625" style="176" customWidth="1"/>
    <col min="10498" max="10498" width="10.5" style="176" customWidth="1"/>
    <col min="10499" max="10499" width="49.1640625" style="176" customWidth="1"/>
    <col min="10500" max="10500" width="68.5" style="176" customWidth="1"/>
    <col min="10501" max="10501" width="35.5" style="176" customWidth="1"/>
    <col min="10502" max="10502" width="21" style="176" customWidth="1"/>
    <col min="10503" max="10503" width="28.5" style="176" customWidth="1"/>
    <col min="10504" max="10504" width="30.6640625" style="176" customWidth="1"/>
    <col min="10505" max="10505" width="29.5" style="176" customWidth="1"/>
    <col min="10506" max="10506" width="33.5" style="176" customWidth="1"/>
    <col min="10507" max="10507" width="26.5" style="176" customWidth="1"/>
    <col min="10508" max="10508" width="31.5" style="176" customWidth="1"/>
    <col min="10509" max="10509" width="34.33203125" style="176" customWidth="1"/>
    <col min="10510" max="10510" width="45.1640625" style="176" customWidth="1"/>
    <col min="10511" max="10752" width="9.1640625" style="176"/>
    <col min="10753" max="10753" width="4.6640625" style="176" customWidth="1"/>
    <col min="10754" max="10754" width="10.5" style="176" customWidth="1"/>
    <col min="10755" max="10755" width="49.1640625" style="176" customWidth="1"/>
    <col min="10756" max="10756" width="68.5" style="176" customWidth="1"/>
    <col min="10757" max="10757" width="35.5" style="176" customWidth="1"/>
    <col min="10758" max="10758" width="21" style="176" customWidth="1"/>
    <col min="10759" max="10759" width="28.5" style="176" customWidth="1"/>
    <col min="10760" max="10760" width="30.6640625" style="176" customWidth="1"/>
    <col min="10761" max="10761" width="29.5" style="176" customWidth="1"/>
    <col min="10762" max="10762" width="33.5" style="176" customWidth="1"/>
    <col min="10763" max="10763" width="26.5" style="176" customWidth="1"/>
    <col min="10764" max="10764" width="31.5" style="176" customWidth="1"/>
    <col min="10765" max="10765" width="34.33203125" style="176" customWidth="1"/>
    <col min="10766" max="10766" width="45.1640625" style="176" customWidth="1"/>
    <col min="10767" max="11008" width="9.1640625" style="176"/>
    <col min="11009" max="11009" width="4.6640625" style="176" customWidth="1"/>
    <col min="11010" max="11010" width="10.5" style="176" customWidth="1"/>
    <col min="11011" max="11011" width="49.1640625" style="176" customWidth="1"/>
    <col min="11012" max="11012" width="68.5" style="176" customWidth="1"/>
    <col min="11013" max="11013" width="35.5" style="176" customWidth="1"/>
    <col min="11014" max="11014" width="21" style="176" customWidth="1"/>
    <col min="11015" max="11015" width="28.5" style="176" customWidth="1"/>
    <col min="11016" max="11016" width="30.6640625" style="176" customWidth="1"/>
    <col min="11017" max="11017" width="29.5" style="176" customWidth="1"/>
    <col min="11018" max="11018" width="33.5" style="176" customWidth="1"/>
    <col min="11019" max="11019" width="26.5" style="176" customWidth="1"/>
    <col min="11020" max="11020" width="31.5" style="176" customWidth="1"/>
    <col min="11021" max="11021" width="34.33203125" style="176" customWidth="1"/>
    <col min="11022" max="11022" width="45.1640625" style="176" customWidth="1"/>
    <col min="11023" max="11264" width="9.1640625" style="176"/>
    <col min="11265" max="11265" width="4.6640625" style="176" customWidth="1"/>
    <col min="11266" max="11266" width="10.5" style="176" customWidth="1"/>
    <col min="11267" max="11267" width="49.1640625" style="176" customWidth="1"/>
    <col min="11268" max="11268" width="68.5" style="176" customWidth="1"/>
    <col min="11269" max="11269" width="35.5" style="176" customWidth="1"/>
    <col min="11270" max="11270" width="21" style="176" customWidth="1"/>
    <col min="11271" max="11271" width="28.5" style="176" customWidth="1"/>
    <col min="11272" max="11272" width="30.6640625" style="176" customWidth="1"/>
    <col min="11273" max="11273" width="29.5" style="176" customWidth="1"/>
    <col min="11274" max="11274" width="33.5" style="176" customWidth="1"/>
    <col min="11275" max="11275" width="26.5" style="176" customWidth="1"/>
    <col min="11276" max="11276" width="31.5" style="176" customWidth="1"/>
    <col min="11277" max="11277" width="34.33203125" style="176" customWidth="1"/>
    <col min="11278" max="11278" width="45.1640625" style="176" customWidth="1"/>
    <col min="11279" max="11520" width="9.1640625" style="176"/>
    <col min="11521" max="11521" width="4.6640625" style="176" customWidth="1"/>
    <col min="11522" max="11522" width="10.5" style="176" customWidth="1"/>
    <col min="11523" max="11523" width="49.1640625" style="176" customWidth="1"/>
    <col min="11524" max="11524" width="68.5" style="176" customWidth="1"/>
    <col min="11525" max="11525" width="35.5" style="176" customWidth="1"/>
    <col min="11526" max="11526" width="21" style="176" customWidth="1"/>
    <col min="11527" max="11527" width="28.5" style="176" customWidth="1"/>
    <col min="11528" max="11528" width="30.6640625" style="176" customWidth="1"/>
    <col min="11529" max="11529" width="29.5" style="176" customWidth="1"/>
    <col min="11530" max="11530" width="33.5" style="176" customWidth="1"/>
    <col min="11531" max="11531" width="26.5" style="176" customWidth="1"/>
    <col min="11532" max="11532" width="31.5" style="176" customWidth="1"/>
    <col min="11533" max="11533" width="34.33203125" style="176" customWidth="1"/>
    <col min="11534" max="11534" width="45.1640625" style="176" customWidth="1"/>
    <col min="11535" max="11776" width="9.1640625" style="176"/>
    <col min="11777" max="11777" width="4.6640625" style="176" customWidth="1"/>
    <col min="11778" max="11778" width="10.5" style="176" customWidth="1"/>
    <col min="11779" max="11779" width="49.1640625" style="176" customWidth="1"/>
    <col min="11780" max="11780" width="68.5" style="176" customWidth="1"/>
    <col min="11781" max="11781" width="35.5" style="176" customWidth="1"/>
    <col min="11782" max="11782" width="21" style="176" customWidth="1"/>
    <col min="11783" max="11783" width="28.5" style="176" customWidth="1"/>
    <col min="11784" max="11784" width="30.6640625" style="176" customWidth="1"/>
    <col min="11785" max="11785" width="29.5" style="176" customWidth="1"/>
    <col min="11786" max="11786" width="33.5" style="176" customWidth="1"/>
    <col min="11787" max="11787" width="26.5" style="176" customWidth="1"/>
    <col min="11788" max="11788" width="31.5" style="176" customWidth="1"/>
    <col min="11789" max="11789" width="34.33203125" style="176" customWidth="1"/>
    <col min="11790" max="11790" width="45.1640625" style="176" customWidth="1"/>
    <col min="11791" max="12032" width="9.1640625" style="176"/>
    <col min="12033" max="12033" width="4.6640625" style="176" customWidth="1"/>
    <col min="12034" max="12034" width="10.5" style="176" customWidth="1"/>
    <col min="12035" max="12035" width="49.1640625" style="176" customWidth="1"/>
    <col min="12036" max="12036" width="68.5" style="176" customWidth="1"/>
    <col min="12037" max="12037" width="35.5" style="176" customWidth="1"/>
    <col min="12038" max="12038" width="21" style="176" customWidth="1"/>
    <col min="12039" max="12039" width="28.5" style="176" customWidth="1"/>
    <col min="12040" max="12040" width="30.6640625" style="176" customWidth="1"/>
    <col min="12041" max="12041" width="29.5" style="176" customWidth="1"/>
    <col min="12042" max="12042" width="33.5" style="176" customWidth="1"/>
    <col min="12043" max="12043" width="26.5" style="176" customWidth="1"/>
    <col min="12044" max="12044" width="31.5" style="176" customWidth="1"/>
    <col min="12045" max="12045" width="34.33203125" style="176" customWidth="1"/>
    <col min="12046" max="12046" width="45.1640625" style="176" customWidth="1"/>
    <col min="12047" max="12288" width="9.1640625" style="176"/>
    <col min="12289" max="12289" width="4.6640625" style="176" customWidth="1"/>
    <col min="12290" max="12290" width="10.5" style="176" customWidth="1"/>
    <col min="12291" max="12291" width="49.1640625" style="176" customWidth="1"/>
    <col min="12292" max="12292" width="68.5" style="176" customWidth="1"/>
    <col min="12293" max="12293" width="35.5" style="176" customWidth="1"/>
    <col min="12294" max="12294" width="21" style="176" customWidth="1"/>
    <col min="12295" max="12295" width="28.5" style="176" customWidth="1"/>
    <col min="12296" max="12296" width="30.6640625" style="176" customWidth="1"/>
    <col min="12297" max="12297" width="29.5" style="176" customWidth="1"/>
    <col min="12298" max="12298" width="33.5" style="176" customWidth="1"/>
    <col min="12299" max="12299" width="26.5" style="176" customWidth="1"/>
    <col min="12300" max="12300" width="31.5" style="176" customWidth="1"/>
    <col min="12301" max="12301" width="34.33203125" style="176" customWidth="1"/>
    <col min="12302" max="12302" width="45.1640625" style="176" customWidth="1"/>
    <col min="12303" max="12544" width="9.1640625" style="176"/>
    <col min="12545" max="12545" width="4.6640625" style="176" customWidth="1"/>
    <col min="12546" max="12546" width="10.5" style="176" customWidth="1"/>
    <col min="12547" max="12547" width="49.1640625" style="176" customWidth="1"/>
    <col min="12548" max="12548" width="68.5" style="176" customWidth="1"/>
    <col min="12549" max="12549" width="35.5" style="176" customWidth="1"/>
    <col min="12550" max="12550" width="21" style="176" customWidth="1"/>
    <col min="12551" max="12551" width="28.5" style="176" customWidth="1"/>
    <col min="12552" max="12552" width="30.6640625" style="176" customWidth="1"/>
    <col min="12553" max="12553" width="29.5" style="176" customWidth="1"/>
    <col min="12554" max="12554" width="33.5" style="176" customWidth="1"/>
    <col min="12555" max="12555" width="26.5" style="176" customWidth="1"/>
    <col min="12556" max="12556" width="31.5" style="176" customWidth="1"/>
    <col min="12557" max="12557" width="34.33203125" style="176" customWidth="1"/>
    <col min="12558" max="12558" width="45.1640625" style="176" customWidth="1"/>
    <col min="12559" max="12800" width="9.1640625" style="176"/>
    <col min="12801" max="12801" width="4.6640625" style="176" customWidth="1"/>
    <col min="12802" max="12802" width="10.5" style="176" customWidth="1"/>
    <col min="12803" max="12803" width="49.1640625" style="176" customWidth="1"/>
    <col min="12804" max="12804" width="68.5" style="176" customWidth="1"/>
    <col min="12805" max="12805" width="35.5" style="176" customWidth="1"/>
    <col min="12806" max="12806" width="21" style="176" customWidth="1"/>
    <col min="12807" max="12807" width="28.5" style="176" customWidth="1"/>
    <col min="12808" max="12808" width="30.6640625" style="176" customWidth="1"/>
    <col min="12809" max="12809" width="29.5" style="176" customWidth="1"/>
    <col min="12810" max="12810" width="33.5" style="176" customWidth="1"/>
    <col min="12811" max="12811" width="26.5" style="176" customWidth="1"/>
    <col min="12812" max="12812" width="31.5" style="176" customWidth="1"/>
    <col min="12813" max="12813" width="34.33203125" style="176" customWidth="1"/>
    <col min="12814" max="12814" width="45.1640625" style="176" customWidth="1"/>
    <col min="12815" max="13056" width="9.1640625" style="176"/>
    <col min="13057" max="13057" width="4.6640625" style="176" customWidth="1"/>
    <col min="13058" max="13058" width="10.5" style="176" customWidth="1"/>
    <col min="13059" max="13059" width="49.1640625" style="176" customWidth="1"/>
    <col min="13060" max="13060" width="68.5" style="176" customWidth="1"/>
    <col min="13061" max="13061" width="35.5" style="176" customWidth="1"/>
    <col min="13062" max="13062" width="21" style="176" customWidth="1"/>
    <col min="13063" max="13063" width="28.5" style="176" customWidth="1"/>
    <col min="13064" max="13064" width="30.6640625" style="176" customWidth="1"/>
    <col min="13065" max="13065" width="29.5" style="176" customWidth="1"/>
    <col min="13066" max="13066" width="33.5" style="176" customWidth="1"/>
    <col min="13067" max="13067" width="26.5" style="176" customWidth="1"/>
    <col min="13068" max="13068" width="31.5" style="176" customWidth="1"/>
    <col min="13069" max="13069" width="34.33203125" style="176" customWidth="1"/>
    <col min="13070" max="13070" width="45.1640625" style="176" customWidth="1"/>
    <col min="13071" max="13312" width="9.1640625" style="176"/>
    <col min="13313" max="13313" width="4.6640625" style="176" customWidth="1"/>
    <col min="13314" max="13314" width="10.5" style="176" customWidth="1"/>
    <col min="13315" max="13315" width="49.1640625" style="176" customWidth="1"/>
    <col min="13316" max="13316" width="68.5" style="176" customWidth="1"/>
    <col min="13317" max="13317" width="35.5" style="176" customWidth="1"/>
    <col min="13318" max="13318" width="21" style="176" customWidth="1"/>
    <col min="13319" max="13319" width="28.5" style="176" customWidth="1"/>
    <col min="13320" max="13320" width="30.6640625" style="176" customWidth="1"/>
    <col min="13321" max="13321" width="29.5" style="176" customWidth="1"/>
    <col min="13322" max="13322" width="33.5" style="176" customWidth="1"/>
    <col min="13323" max="13323" width="26.5" style="176" customWidth="1"/>
    <col min="13324" max="13324" width="31.5" style="176" customWidth="1"/>
    <col min="13325" max="13325" width="34.33203125" style="176" customWidth="1"/>
    <col min="13326" max="13326" width="45.1640625" style="176" customWidth="1"/>
    <col min="13327" max="13568" width="9.1640625" style="176"/>
    <col min="13569" max="13569" width="4.6640625" style="176" customWidth="1"/>
    <col min="13570" max="13570" width="10.5" style="176" customWidth="1"/>
    <col min="13571" max="13571" width="49.1640625" style="176" customWidth="1"/>
    <col min="13572" max="13572" width="68.5" style="176" customWidth="1"/>
    <col min="13573" max="13573" width="35.5" style="176" customWidth="1"/>
    <col min="13574" max="13574" width="21" style="176" customWidth="1"/>
    <col min="13575" max="13575" width="28.5" style="176" customWidth="1"/>
    <col min="13576" max="13576" width="30.6640625" style="176" customWidth="1"/>
    <col min="13577" max="13577" width="29.5" style="176" customWidth="1"/>
    <col min="13578" max="13578" width="33.5" style="176" customWidth="1"/>
    <col min="13579" max="13579" width="26.5" style="176" customWidth="1"/>
    <col min="13580" max="13580" width="31.5" style="176" customWidth="1"/>
    <col min="13581" max="13581" width="34.33203125" style="176" customWidth="1"/>
    <col min="13582" max="13582" width="45.1640625" style="176" customWidth="1"/>
    <col min="13583" max="13824" width="9.1640625" style="176"/>
    <col min="13825" max="13825" width="4.6640625" style="176" customWidth="1"/>
    <col min="13826" max="13826" width="10.5" style="176" customWidth="1"/>
    <col min="13827" max="13827" width="49.1640625" style="176" customWidth="1"/>
    <col min="13828" max="13828" width="68.5" style="176" customWidth="1"/>
    <col min="13829" max="13829" width="35.5" style="176" customWidth="1"/>
    <col min="13830" max="13830" width="21" style="176" customWidth="1"/>
    <col min="13831" max="13831" width="28.5" style="176" customWidth="1"/>
    <col min="13832" max="13832" width="30.6640625" style="176" customWidth="1"/>
    <col min="13833" max="13833" width="29.5" style="176" customWidth="1"/>
    <col min="13834" max="13834" width="33.5" style="176" customWidth="1"/>
    <col min="13835" max="13835" width="26.5" style="176" customWidth="1"/>
    <col min="13836" max="13836" width="31.5" style="176" customWidth="1"/>
    <col min="13837" max="13837" width="34.33203125" style="176" customWidth="1"/>
    <col min="13838" max="13838" width="45.1640625" style="176" customWidth="1"/>
    <col min="13839" max="14080" width="9.1640625" style="176"/>
    <col min="14081" max="14081" width="4.6640625" style="176" customWidth="1"/>
    <col min="14082" max="14082" width="10.5" style="176" customWidth="1"/>
    <col min="14083" max="14083" width="49.1640625" style="176" customWidth="1"/>
    <col min="14084" max="14084" width="68.5" style="176" customWidth="1"/>
    <col min="14085" max="14085" width="35.5" style="176" customWidth="1"/>
    <col min="14086" max="14086" width="21" style="176" customWidth="1"/>
    <col min="14087" max="14087" width="28.5" style="176" customWidth="1"/>
    <col min="14088" max="14088" width="30.6640625" style="176" customWidth="1"/>
    <col min="14089" max="14089" width="29.5" style="176" customWidth="1"/>
    <col min="14090" max="14090" width="33.5" style="176" customWidth="1"/>
    <col min="14091" max="14091" width="26.5" style="176" customWidth="1"/>
    <col min="14092" max="14092" width="31.5" style="176" customWidth="1"/>
    <col min="14093" max="14093" width="34.33203125" style="176" customWidth="1"/>
    <col min="14094" max="14094" width="45.1640625" style="176" customWidth="1"/>
    <col min="14095" max="14336" width="9.1640625" style="176"/>
    <col min="14337" max="14337" width="4.6640625" style="176" customWidth="1"/>
    <col min="14338" max="14338" width="10.5" style="176" customWidth="1"/>
    <col min="14339" max="14339" width="49.1640625" style="176" customWidth="1"/>
    <col min="14340" max="14340" width="68.5" style="176" customWidth="1"/>
    <col min="14341" max="14341" width="35.5" style="176" customWidth="1"/>
    <col min="14342" max="14342" width="21" style="176" customWidth="1"/>
    <col min="14343" max="14343" width="28.5" style="176" customWidth="1"/>
    <col min="14344" max="14344" width="30.6640625" style="176" customWidth="1"/>
    <col min="14345" max="14345" width="29.5" style="176" customWidth="1"/>
    <col min="14346" max="14346" width="33.5" style="176" customWidth="1"/>
    <col min="14347" max="14347" width="26.5" style="176" customWidth="1"/>
    <col min="14348" max="14348" width="31.5" style="176" customWidth="1"/>
    <col min="14349" max="14349" width="34.33203125" style="176" customWidth="1"/>
    <col min="14350" max="14350" width="45.1640625" style="176" customWidth="1"/>
    <col min="14351" max="14592" width="9.1640625" style="176"/>
    <col min="14593" max="14593" width="4.6640625" style="176" customWidth="1"/>
    <col min="14594" max="14594" width="10.5" style="176" customWidth="1"/>
    <col min="14595" max="14595" width="49.1640625" style="176" customWidth="1"/>
    <col min="14596" max="14596" width="68.5" style="176" customWidth="1"/>
    <col min="14597" max="14597" width="35.5" style="176" customWidth="1"/>
    <col min="14598" max="14598" width="21" style="176" customWidth="1"/>
    <col min="14599" max="14599" width="28.5" style="176" customWidth="1"/>
    <col min="14600" max="14600" width="30.6640625" style="176" customWidth="1"/>
    <col min="14601" max="14601" width="29.5" style="176" customWidth="1"/>
    <col min="14602" max="14602" width="33.5" style="176" customWidth="1"/>
    <col min="14603" max="14603" width="26.5" style="176" customWidth="1"/>
    <col min="14604" max="14604" width="31.5" style="176" customWidth="1"/>
    <col min="14605" max="14605" width="34.33203125" style="176" customWidth="1"/>
    <col min="14606" max="14606" width="45.1640625" style="176" customWidth="1"/>
    <col min="14607" max="14848" width="9.1640625" style="176"/>
    <col min="14849" max="14849" width="4.6640625" style="176" customWidth="1"/>
    <col min="14850" max="14850" width="10.5" style="176" customWidth="1"/>
    <col min="14851" max="14851" width="49.1640625" style="176" customWidth="1"/>
    <col min="14852" max="14852" width="68.5" style="176" customWidth="1"/>
    <col min="14853" max="14853" width="35.5" style="176" customWidth="1"/>
    <col min="14854" max="14854" width="21" style="176" customWidth="1"/>
    <col min="14855" max="14855" width="28.5" style="176" customWidth="1"/>
    <col min="14856" max="14856" width="30.6640625" style="176" customWidth="1"/>
    <col min="14857" max="14857" width="29.5" style="176" customWidth="1"/>
    <col min="14858" max="14858" width="33.5" style="176" customWidth="1"/>
    <col min="14859" max="14859" width="26.5" style="176" customWidth="1"/>
    <col min="14860" max="14860" width="31.5" style="176" customWidth="1"/>
    <col min="14861" max="14861" width="34.33203125" style="176" customWidth="1"/>
    <col min="14862" max="14862" width="45.1640625" style="176" customWidth="1"/>
    <col min="14863" max="15104" width="9.1640625" style="176"/>
    <col min="15105" max="15105" width="4.6640625" style="176" customWidth="1"/>
    <col min="15106" max="15106" width="10.5" style="176" customWidth="1"/>
    <col min="15107" max="15107" width="49.1640625" style="176" customWidth="1"/>
    <col min="15108" max="15108" width="68.5" style="176" customWidth="1"/>
    <col min="15109" max="15109" width="35.5" style="176" customWidth="1"/>
    <col min="15110" max="15110" width="21" style="176" customWidth="1"/>
    <col min="15111" max="15111" width="28.5" style="176" customWidth="1"/>
    <col min="15112" max="15112" width="30.6640625" style="176" customWidth="1"/>
    <col min="15113" max="15113" width="29.5" style="176" customWidth="1"/>
    <col min="15114" max="15114" width="33.5" style="176" customWidth="1"/>
    <col min="15115" max="15115" width="26.5" style="176" customWidth="1"/>
    <col min="15116" max="15116" width="31.5" style="176" customWidth="1"/>
    <col min="15117" max="15117" width="34.33203125" style="176" customWidth="1"/>
    <col min="15118" max="15118" width="45.1640625" style="176" customWidth="1"/>
    <col min="15119" max="15360" width="9.1640625" style="176"/>
    <col min="15361" max="15361" width="4.6640625" style="176" customWidth="1"/>
    <col min="15362" max="15362" width="10.5" style="176" customWidth="1"/>
    <col min="15363" max="15363" width="49.1640625" style="176" customWidth="1"/>
    <col min="15364" max="15364" width="68.5" style="176" customWidth="1"/>
    <col min="15365" max="15365" width="35.5" style="176" customWidth="1"/>
    <col min="15366" max="15366" width="21" style="176" customWidth="1"/>
    <col min="15367" max="15367" width="28.5" style="176" customWidth="1"/>
    <col min="15368" max="15368" width="30.6640625" style="176" customWidth="1"/>
    <col min="15369" max="15369" width="29.5" style="176" customWidth="1"/>
    <col min="15370" max="15370" width="33.5" style="176" customWidth="1"/>
    <col min="15371" max="15371" width="26.5" style="176" customWidth="1"/>
    <col min="15372" max="15372" width="31.5" style="176" customWidth="1"/>
    <col min="15373" max="15373" width="34.33203125" style="176" customWidth="1"/>
    <col min="15374" max="15374" width="45.1640625" style="176" customWidth="1"/>
    <col min="15375" max="15616" width="9.1640625" style="176"/>
    <col min="15617" max="15617" width="4.6640625" style="176" customWidth="1"/>
    <col min="15618" max="15618" width="10.5" style="176" customWidth="1"/>
    <col min="15619" max="15619" width="49.1640625" style="176" customWidth="1"/>
    <col min="15620" max="15620" width="68.5" style="176" customWidth="1"/>
    <col min="15621" max="15621" width="35.5" style="176" customWidth="1"/>
    <col min="15622" max="15622" width="21" style="176" customWidth="1"/>
    <col min="15623" max="15623" width="28.5" style="176" customWidth="1"/>
    <col min="15624" max="15624" width="30.6640625" style="176" customWidth="1"/>
    <col min="15625" max="15625" width="29.5" style="176" customWidth="1"/>
    <col min="15626" max="15626" width="33.5" style="176" customWidth="1"/>
    <col min="15627" max="15627" width="26.5" style="176" customWidth="1"/>
    <col min="15628" max="15628" width="31.5" style="176" customWidth="1"/>
    <col min="15629" max="15629" width="34.33203125" style="176" customWidth="1"/>
    <col min="15630" max="15630" width="45.1640625" style="176" customWidth="1"/>
    <col min="15631" max="15872" width="9.1640625" style="176"/>
    <col min="15873" max="15873" width="4.6640625" style="176" customWidth="1"/>
    <col min="15874" max="15874" width="10.5" style="176" customWidth="1"/>
    <col min="15875" max="15875" width="49.1640625" style="176" customWidth="1"/>
    <col min="15876" max="15876" width="68.5" style="176" customWidth="1"/>
    <col min="15877" max="15877" width="35.5" style="176" customWidth="1"/>
    <col min="15878" max="15878" width="21" style="176" customWidth="1"/>
    <col min="15879" max="15879" width="28.5" style="176" customWidth="1"/>
    <col min="15880" max="15880" width="30.6640625" style="176" customWidth="1"/>
    <col min="15881" max="15881" width="29.5" style="176" customWidth="1"/>
    <col min="15882" max="15882" width="33.5" style="176" customWidth="1"/>
    <col min="15883" max="15883" width="26.5" style="176" customWidth="1"/>
    <col min="15884" max="15884" width="31.5" style="176" customWidth="1"/>
    <col min="15885" max="15885" width="34.33203125" style="176" customWidth="1"/>
    <col min="15886" max="15886" width="45.1640625" style="176" customWidth="1"/>
    <col min="15887" max="16128" width="9.1640625" style="176"/>
    <col min="16129" max="16129" width="4.6640625" style="176" customWidth="1"/>
    <col min="16130" max="16130" width="10.5" style="176" customWidth="1"/>
    <col min="16131" max="16131" width="49.1640625" style="176" customWidth="1"/>
    <col min="16132" max="16132" width="68.5" style="176" customWidth="1"/>
    <col min="16133" max="16133" width="35.5" style="176" customWidth="1"/>
    <col min="16134" max="16134" width="21" style="176" customWidth="1"/>
    <col min="16135" max="16135" width="28.5" style="176" customWidth="1"/>
    <col min="16136" max="16136" width="30.6640625" style="176" customWidth="1"/>
    <col min="16137" max="16137" width="29.5" style="176" customWidth="1"/>
    <col min="16138" max="16138" width="33.5" style="176" customWidth="1"/>
    <col min="16139" max="16139" width="26.5" style="176" customWidth="1"/>
    <col min="16140" max="16140" width="31.5" style="176" customWidth="1"/>
    <col min="16141" max="16141" width="34.33203125" style="176" customWidth="1"/>
    <col min="16142" max="16142" width="45.1640625" style="176" customWidth="1"/>
    <col min="16143" max="16384" width="9.1640625" style="176"/>
  </cols>
  <sheetData>
    <row r="1" spans="2:15">
      <c r="C1" s="177"/>
      <c r="D1" s="177"/>
    </row>
    <row r="2" spans="2:15" ht="31.5" customHeight="1">
      <c r="C2" s="180"/>
      <c r="D2" s="180"/>
      <c r="E2" s="180"/>
      <c r="F2" s="180"/>
      <c r="G2" s="180"/>
      <c r="H2" s="180"/>
      <c r="I2" s="180"/>
      <c r="J2" s="180"/>
      <c r="K2" s="180"/>
      <c r="L2" s="180"/>
      <c r="M2" s="180"/>
      <c r="N2" s="180"/>
    </row>
    <row r="3" spans="2:15" s="121" customFormat="1">
      <c r="B3" s="1057" t="str">
        <f>Index!B2</f>
        <v>Jaigad Power Transco Ltd</v>
      </c>
      <c r="C3" s="1057"/>
      <c r="D3" s="1057"/>
      <c r="E3" s="1057"/>
      <c r="F3" s="1057"/>
      <c r="G3" s="1057"/>
      <c r="H3" s="1057"/>
      <c r="I3" s="1057"/>
      <c r="J3" s="1057"/>
      <c r="K3" s="1057"/>
      <c r="L3" s="1057"/>
      <c r="M3" s="1057"/>
      <c r="N3" s="1057"/>
    </row>
    <row r="4" spans="2:15" s="121" customFormat="1">
      <c r="B4" s="1184" t="s">
        <v>435</v>
      </c>
      <c r="C4" s="1184"/>
      <c r="D4" s="1184"/>
      <c r="E4" s="1184"/>
      <c r="F4" s="1184"/>
      <c r="G4" s="1184"/>
      <c r="H4" s="1184"/>
      <c r="I4" s="1184"/>
      <c r="J4" s="1184"/>
      <c r="K4" s="1184"/>
      <c r="L4" s="1184"/>
      <c r="M4" s="1184"/>
      <c r="N4" s="1184"/>
    </row>
    <row r="5" spans="2:15" s="121" customFormat="1">
      <c r="B5" s="1200" t="s">
        <v>694</v>
      </c>
      <c r="C5" s="1200"/>
      <c r="D5" s="1200"/>
      <c r="E5" s="1200"/>
      <c r="F5" s="1200"/>
      <c r="G5" s="1200"/>
      <c r="H5" s="1200"/>
      <c r="I5" s="1200"/>
      <c r="J5" s="1200"/>
      <c r="K5" s="1200"/>
      <c r="L5" s="1200"/>
      <c r="M5" s="1200"/>
      <c r="N5" s="1200"/>
    </row>
    <row r="6" spans="2:15" s="121" customFormat="1">
      <c r="B6" s="182"/>
      <c r="C6" s="181"/>
      <c r="D6" s="136"/>
      <c r="E6" s="136"/>
      <c r="F6" s="136"/>
      <c r="G6" s="136"/>
      <c r="H6" s="137"/>
    </row>
    <row r="7" spans="2:15" ht="64">
      <c r="B7" s="183" t="s">
        <v>226</v>
      </c>
      <c r="C7" s="183" t="s">
        <v>399</v>
      </c>
      <c r="D7" s="183" t="s">
        <v>400</v>
      </c>
      <c r="E7" s="183" t="s">
        <v>512</v>
      </c>
      <c r="F7" s="183" t="s">
        <v>401</v>
      </c>
      <c r="G7" s="183" t="s">
        <v>402</v>
      </c>
      <c r="H7" s="183" t="s">
        <v>403</v>
      </c>
      <c r="I7" s="183" t="s">
        <v>404</v>
      </c>
      <c r="J7" s="183" t="s">
        <v>405</v>
      </c>
      <c r="K7" s="183" t="s">
        <v>406</v>
      </c>
      <c r="L7" s="183" t="s">
        <v>407</v>
      </c>
      <c r="M7" s="184" t="s">
        <v>408</v>
      </c>
      <c r="N7" s="183" t="s">
        <v>409</v>
      </c>
      <c r="O7" s="178"/>
    </row>
    <row r="8" spans="2:15">
      <c r="B8" s="185"/>
      <c r="C8" s="186"/>
      <c r="D8" s="186"/>
      <c r="E8" s="187"/>
      <c r="F8" s="187"/>
      <c r="G8" s="187"/>
      <c r="H8" s="187"/>
      <c r="I8" s="187"/>
      <c r="J8" s="187"/>
      <c r="K8" s="187"/>
      <c r="L8" s="187"/>
      <c r="M8" s="188"/>
      <c r="N8" s="189"/>
      <c r="O8" s="178"/>
    </row>
    <row r="9" spans="2:15" s="191" customFormat="1">
      <c r="B9" s="185"/>
      <c r="C9" s="186"/>
      <c r="D9" s="186"/>
      <c r="E9" s="187"/>
      <c r="F9" s="187"/>
      <c r="G9" s="187"/>
      <c r="H9" s="187"/>
      <c r="I9" s="187"/>
      <c r="J9" s="187"/>
      <c r="K9" s="187"/>
      <c r="L9" s="187"/>
      <c r="M9" s="188"/>
      <c r="N9" s="189"/>
      <c r="O9" s="190"/>
    </row>
    <row r="10" spans="2:15">
      <c r="B10" s="185"/>
      <c r="C10" s="186"/>
      <c r="D10" s="186"/>
      <c r="E10" s="187"/>
      <c r="F10" s="187"/>
      <c r="G10" s="187"/>
      <c r="H10" s="187"/>
      <c r="I10" s="187"/>
      <c r="J10" s="187"/>
      <c r="K10" s="187"/>
      <c r="L10" s="187"/>
      <c r="M10" s="188"/>
      <c r="N10" s="189"/>
      <c r="O10" s="178"/>
    </row>
    <row r="11" spans="2:15">
      <c r="B11" s="185"/>
      <c r="C11" s="186"/>
      <c r="D11" s="186"/>
      <c r="E11" s="187"/>
      <c r="F11" s="187"/>
      <c r="G11" s="187"/>
      <c r="H11" s="192"/>
      <c r="I11" s="187"/>
      <c r="J11" s="187"/>
      <c r="K11" s="193"/>
      <c r="L11" s="187"/>
      <c r="M11" s="188"/>
      <c r="N11" s="189"/>
      <c r="O11" s="178"/>
    </row>
    <row r="12" spans="2:15">
      <c r="B12" s="185"/>
      <c r="C12" s="186"/>
      <c r="D12" s="186"/>
      <c r="E12" s="187"/>
      <c r="F12" s="187"/>
      <c r="G12" s="187"/>
      <c r="H12" s="187"/>
      <c r="I12" s="187"/>
      <c r="J12" s="187"/>
      <c r="K12" s="187"/>
      <c r="L12" s="187"/>
      <c r="M12" s="188"/>
      <c r="N12" s="189"/>
      <c r="O12" s="178"/>
    </row>
    <row r="13" spans="2:15" ht="16" thickBot="1">
      <c r="B13" s="194"/>
      <c r="C13" s="195"/>
      <c r="D13" s="195"/>
      <c r="E13" s="196"/>
      <c r="F13" s="196"/>
      <c r="G13" s="197"/>
      <c r="H13" s="196"/>
      <c r="I13" s="196"/>
      <c r="J13" s="196"/>
      <c r="K13" s="196"/>
      <c r="L13" s="196"/>
      <c r="M13" s="198"/>
      <c r="N13" s="199"/>
      <c r="O13" s="178"/>
    </row>
    <row r="14" spans="2:15">
      <c r="B14" s="178"/>
      <c r="C14" s="178"/>
      <c r="D14" s="178"/>
      <c r="G14" s="178"/>
      <c r="K14" s="178"/>
      <c r="M14" s="178"/>
    </row>
    <row r="15" spans="2:15">
      <c r="B15" s="73" t="s">
        <v>712</v>
      </c>
      <c r="C15" s="178"/>
      <c r="D15" s="178"/>
      <c r="G15" s="178"/>
      <c r="K15" s="178"/>
      <c r="M15" s="178"/>
    </row>
    <row r="16" spans="2:15">
      <c r="B16" s="178"/>
      <c r="C16" s="178"/>
      <c r="D16" s="178"/>
      <c r="G16" s="178"/>
      <c r="K16" s="178"/>
      <c r="M16" s="178"/>
    </row>
    <row r="17" spans="2:13">
      <c r="B17" s="178"/>
      <c r="C17" s="178"/>
      <c r="D17" s="178"/>
      <c r="G17" s="178"/>
      <c r="K17" s="178"/>
      <c r="M17" s="178"/>
    </row>
    <row r="18" spans="2:13">
      <c r="B18" s="178"/>
      <c r="C18" s="178"/>
      <c r="D18" s="178"/>
      <c r="G18" s="178"/>
      <c r="K18" s="178"/>
      <c r="M18" s="178"/>
    </row>
    <row r="19" spans="2:13">
      <c r="B19" s="178"/>
      <c r="C19" s="178"/>
      <c r="D19" s="178"/>
      <c r="G19" s="178"/>
      <c r="K19" s="178"/>
      <c r="M19" s="178"/>
    </row>
    <row r="20" spans="2:13">
      <c r="B20" s="178"/>
      <c r="C20" s="178"/>
      <c r="D20" s="178"/>
      <c r="G20" s="178"/>
      <c r="K20" s="178"/>
      <c r="M20" s="178"/>
    </row>
    <row r="21" spans="2:13">
      <c r="B21" s="178"/>
      <c r="C21" s="178"/>
      <c r="D21" s="178"/>
      <c r="G21" s="178"/>
      <c r="K21" s="178"/>
      <c r="M21" s="178"/>
    </row>
    <row r="22" spans="2:13">
      <c r="B22" s="178"/>
      <c r="C22" s="178"/>
      <c r="D22" s="178"/>
      <c r="G22" s="178"/>
      <c r="K22" s="178"/>
      <c r="M22" s="178"/>
    </row>
    <row r="23" spans="2:13" ht="27.75" customHeight="1">
      <c r="B23" s="178"/>
      <c r="C23" s="178"/>
      <c r="D23" s="178"/>
      <c r="G23" s="178"/>
      <c r="K23" s="178"/>
      <c r="M23" s="178"/>
    </row>
    <row r="24" spans="2:13" ht="27.75" customHeight="1">
      <c r="B24" s="178"/>
      <c r="C24" s="178"/>
      <c r="D24" s="178"/>
      <c r="G24" s="178"/>
      <c r="K24" s="178"/>
      <c r="M24" s="178"/>
    </row>
    <row r="25" spans="2:13">
      <c r="B25" s="178"/>
      <c r="C25" s="178"/>
      <c r="D25" s="178"/>
      <c r="G25" s="178"/>
      <c r="K25" s="178"/>
      <c r="M25" s="178"/>
    </row>
    <row r="26" spans="2:13">
      <c r="B26" s="178"/>
      <c r="C26" s="178"/>
      <c r="D26" s="178"/>
      <c r="G26" s="178"/>
      <c r="K26" s="178"/>
      <c r="M26" s="178"/>
    </row>
    <row r="27" spans="2:13">
      <c r="B27" s="178"/>
      <c r="C27" s="178"/>
      <c r="D27" s="178"/>
      <c r="G27" s="178"/>
      <c r="K27" s="178"/>
      <c r="M27" s="178"/>
    </row>
    <row r="28" spans="2:13">
      <c r="B28" s="178"/>
      <c r="C28" s="178"/>
      <c r="D28" s="178"/>
      <c r="G28" s="178"/>
      <c r="K28" s="178"/>
      <c r="M28" s="178"/>
    </row>
    <row r="29" spans="2:13">
      <c r="B29" s="178"/>
      <c r="C29" s="178"/>
      <c r="D29" s="178"/>
      <c r="G29" s="178"/>
      <c r="K29" s="178"/>
      <c r="M29" s="178"/>
    </row>
    <row r="30" spans="2:13">
      <c r="B30" s="178"/>
      <c r="C30" s="178"/>
      <c r="D30" s="178"/>
      <c r="G30" s="178"/>
      <c r="K30" s="178"/>
      <c r="M30" s="178"/>
    </row>
    <row r="31" spans="2:13">
      <c r="B31" s="178"/>
      <c r="C31" s="178"/>
      <c r="D31" s="178"/>
      <c r="G31" s="178"/>
      <c r="K31" s="178"/>
      <c r="M31" s="178"/>
    </row>
    <row r="32" spans="2:13">
      <c r="B32" s="178"/>
      <c r="C32" s="178"/>
      <c r="D32" s="178"/>
      <c r="G32" s="178"/>
      <c r="K32" s="178"/>
      <c r="M32" s="178"/>
    </row>
    <row r="33" spans="2:14">
      <c r="B33" s="178"/>
      <c r="C33" s="178"/>
      <c r="D33" s="178"/>
      <c r="G33" s="178"/>
      <c r="K33" s="178"/>
      <c r="M33" s="178"/>
    </row>
    <row r="34" spans="2:14">
      <c r="B34" s="178"/>
      <c r="C34" s="178"/>
      <c r="D34" s="178"/>
      <c r="G34" s="178"/>
      <c r="K34" s="178"/>
      <c r="M34" s="178"/>
    </row>
    <row r="35" spans="2:14">
      <c r="B35" s="178"/>
      <c r="C35" s="178"/>
      <c r="D35" s="178"/>
      <c r="G35" s="178"/>
      <c r="K35" s="178"/>
      <c r="M35" s="178"/>
    </row>
    <row r="36" spans="2:14">
      <c r="B36" s="178"/>
      <c r="C36" s="178"/>
      <c r="D36" s="178"/>
      <c r="G36" s="178"/>
      <c r="K36" s="178"/>
      <c r="M36" s="178"/>
    </row>
    <row r="37" spans="2:14">
      <c r="B37" s="178"/>
      <c r="C37" s="178"/>
      <c r="D37" s="178"/>
      <c r="G37" s="178"/>
      <c r="K37" s="178"/>
      <c r="M37" s="178"/>
    </row>
    <row r="38" spans="2:14">
      <c r="B38" s="178"/>
      <c r="C38" s="178"/>
      <c r="D38" s="178"/>
      <c r="G38" s="178"/>
      <c r="K38" s="178"/>
      <c r="M38" s="178"/>
    </row>
    <row r="39" spans="2:14">
      <c r="B39" s="178"/>
      <c r="C39" s="178"/>
      <c r="D39" s="178"/>
      <c r="G39" s="178"/>
      <c r="K39" s="178"/>
      <c r="M39" s="178"/>
    </row>
    <row r="40" spans="2:14">
      <c r="B40" s="178"/>
      <c r="C40" s="178"/>
      <c r="D40" s="178"/>
      <c r="G40" s="178"/>
      <c r="K40" s="178"/>
      <c r="M40" s="178"/>
    </row>
    <row r="41" spans="2:14">
      <c r="B41" s="178"/>
      <c r="C41" s="178"/>
      <c r="D41" s="178"/>
      <c r="G41" s="178"/>
      <c r="K41" s="178"/>
      <c r="M41" s="178"/>
    </row>
    <row r="42" spans="2:14">
      <c r="B42" s="178"/>
      <c r="C42" s="178"/>
      <c r="D42" s="178"/>
      <c r="G42" s="178"/>
      <c r="K42" s="178"/>
      <c r="M42" s="178"/>
    </row>
    <row r="43" spans="2:14">
      <c r="B43" s="178"/>
      <c r="C43" s="178"/>
      <c r="D43" s="178"/>
      <c r="G43" s="178"/>
      <c r="K43" s="178"/>
      <c r="M43" s="178"/>
    </row>
    <row r="44" spans="2:14">
      <c r="B44" s="178"/>
      <c r="C44" s="178"/>
      <c r="D44" s="178"/>
      <c r="G44" s="178"/>
      <c r="K44" s="178"/>
      <c r="M44" s="178"/>
    </row>
    <row r="45" spans="2:14">
      <c r="B45" s="178"/>
      <c r="C45" s="178"/>
      <c r="D45" s="178"/>
      <c r="G45" s="178"/>
      <c r="K45" s="178"/>
      <c r="M45" s="178"/>
      <c r="N45" s="200"/>
    </row>
    <row r="46" spans="2:14">
      <c r="B46" s="178"/>
      <c r="C46" s="178"/>
      <c r="D46" s="178"/>
      <c r="G46" s="178"/>
      <c r="K46" s="178"/>
      <c r="M46" s="178"/>
    </row>
    <row r="47" spans="2:14">
      <c r="B47" s="178"/>
      <c r="C47" s="178"/>
      <c r="D47" s="178"/>
      <c r="G47" s="178"/>
      <c r="K47" s="178"/>
      <c r="M47" s="178"/>
    </row>
    <row r="48" spans="2:14">
      <c r="B48" s="178"/>
      <c r="C48" s="178"/>
      <c r="D48" s="178"/>
      <c r="G48" s="178"/>
      <c r="K48" s="178"/>
      <c r="M48" s="178"/>
    </row>
    <row r="49" spans="2:14">
      <c r="B49" s="178"/>
      <c r="C49" s="178"/>
      <c r="D49" s="178"/>
      <c r="G49" s="178"/>
      <c r="K49" s="178"/>
      <c r="M49" s="178"/>
    </row>
    <row r="50" spans="2:14">
      <c r="B50" s="178"/>
      <c r="C50" s="178"/>
      <c r="D50" s="178"/>
      <c r="G50" s="178"/>
      <c r="K50" s="178"/>
      <c r="M50" s="178"/>
    </row>
    <row r="51" spans="2:14">
      <c r="B51" s="178"/>
      <c r="C51" s="178"/>
      <c r="D51" s="178"/>
      <c r="G51" s="178"/>
      <c r="K51" s="178"/>
      <c r="M51" s="178"/>
    </row>
    <row r="52" spans="2:14">
      <c r="B52" s="178"/>
      <c r="C52" s="178"/>
      <c r="D52" s="178"/>
      <c r="G52" s="178"/>
      <c r="K52" s="178"/>
      <c r="M52" s="178"/>
    </row>
    <row r="53" spans="2:14">
      <c r="B53" s="178"/>
      <c r="C53" s="178"/>
      <c r="D53" s="178"/>
      <c r="G53" s="178"/>
      <c r="K53" s="178"/>
      <c r="M53" s="178"/>
    </row>
    <row r="54" spans="2:14">
      <c r="B54" s="178"/>
      <c r="C54" s="178"/>
      <c r="D54" s="178"/>
      <c r="G54" s="178"/>
      <c r="K54" s="178"/>
      <c r="M54" s="178"/>
    </row>
    <row r="55" spans="2:14">
      <c r="B55" s="178"/>
      <c r="C55" s="178"/>
      <c r="D55" s="178"/>
      <c r="G55" s="178"/>
      <c r="K55" s="178"/>
      <c r="M55" s="178"/>
    </row>
    <row r="56" spans="2:14">
      <c r="B56" s="178"/>
      <c r="C56" s="178"/>
      <c r="D56" s="178"/>
      <c r="G56" s="178"/>
      <c r="K56" s="178"/>
      <c r="M56" s="178"/>
    </row>
    <row r="57" spans="2:14">
      <c r="B57" s="178"/>
      <c r="C57" s="178"/>
      <c r="D57" s="178"/>
      <c r="G57" s="178"/>
      <c r="K57" s="178"/>
      <c r="M57" s="178"/>
    </row>
    <row r="58" spans="2:14">
      <c r="B58" s="178"/>
      <c r="C58" s="178"/>
      <c r="D58" s="178"/>
      <c r="G58" s="178"/>
      <c r="K58" s="178"/>
      <c r="M58" s="178"/>
    </row>
    <row r="59" spans="2:14">
      <c r="B59" s="178"/>
      <c r="C59" s="178"/>
      <c r="D59" s="178"/>
      <c r="G59" s="178"/>
      <c r="K59" s="178"/>
      <c r="M59" s="178"/>
      <c r="N59" s="200"/>
    </row>
    <row r="60" spans="2:14">
      <c r="B60" s="178"/>
      <c r="C60" s="178"/>
      <c r="D60" s="178"/>
      <c r="G60" s="178"/>
      <c r="K60" s="178"/>
      <c r="M60" s="178"/>
    </row>
    <row r="61" spans="2:14">
      <c r="B61" s="178"/>
      <c r="C61" s="178"/>
      <c r="D61" s="178"/>
      <c r="G61" s="178"/>
      <c r="K61" s="178"/>
      <c r="M61" s="178"/>
    </row>
    <row r="62" spans="2:14">
      <c r="B62" s="178"/>
      <c r="C62" s="178"/>
      <c r="M62" s="201"/>
    </row>
    <row r="63" spans="2:14">
      <c r="B63" s="178"/>
      <c r="C63" s="178"/>
      <c r="M63" s="202"/>
    </row>
    <row r="64" spans="2:14">
      <c r="B64" s="178"/>
      <c r="C64" s="178"/>
      <c r="D64" s="203"/>
      <c r="M64" s="204"/>
    </row>
    <row r="65" spans="2:13">
      <c r="B65" s="178"/>
      <c r="C65" s="178"/>
      <c r="M65" s="205"/>
    </row>
    <row r="66" spans="2:13">
      <c r="B66" s="178"/>
      <c r="C66" s="178"/>
      <c r="M66" s="204"/>
    </row>
    <row r="67" spans="2:13">
      <c r="B67" s="178"/>
      <c r="C67" s="178"/>
      <c r="M67" s="204"/>
    </row>
    <row r="68" spans="2:13">
      <c r="B68" s="178"/>
      <c r="C68" s="178"/>
      <c r="M68" s="204"/>
    </row>
    <row r="69" spans="2:13">
      <c r="B69" s="178"/>
      <c r="C69" s="178"/>
      <c r="M69" s="204"/>
    </row>
    <row r="70" spans="2:13">
      <c r="B70" s="178"/>
      <c r="C70" s="178"/>
      <c r="M70" s="206"/>
    </row>
    <row r="71" spans="2:13">
      <c r="B71" s="178"/>
      <c r="C71" s="178"/>
      <c r="M71" s="204"/>
    </row>
    <row r="72" spans="2:13">
      <c r="B72" s="178"/>
      <c r="C72" s="178"/>
      <c r="M72" s="204"/>
    </row>
    <row r="73" spans="2:13">
      <c r="B73" s="178"/>
      <c r="C73" s="178"/>
      <c r="M73" s="201"/>
    </row>
    <row r="75" spans="2:13">
      <c r="M75" s="207"/>
    </row>
    <row r="76" spans="2:13">
      <c r="M76" s="208"/>
    </row>
  </sheetData>
  <mergeCells count="3">
    <mergeCell ref="B3:N3"/>
    <mergeCell ref="B4:N4"/>
    <mergeCell ref="B5:N5"/>
  </mergeCells>
  <printOptions horizontalCentered="1"/>
  <pageMargins left="0.55118110236220497" right="0.511811023622047" top="1.1811023622047201" bottom="0.98425196850393704" header="0.39370078740157499" footer="0.31496062992126"/>
  <pageSetup paperSize="9" scale="5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K29"/>
  <sheetViews>
    <sheetView showGridLines="0" view="pageBreakPreview" zoomScale="70" zoomScaleSheetLayoutView="70" workbookViewId="0">
      <selection activeCell="B4" sqref="B4:H4"/>
    </sheetView>
  </sheetViews>
  <sheetFormatPr baseColWidth="10" defaultColWidth="9.1640625" defaultRowHeight="15"/>
  <cols>
    <col min="1" max="1" width="9.1640625" style="121"/>
    <col min="2" max="2" width="24.6640625" style="121" customWidth="1"/>
    <col min="3" max="3" width="12.5" style="121" customWidth="1"/>
    <col min="4" max="4" width="13.83203125" style="121" customWidth="1"/>
    <col min="5" max="5" width="13.33203125" style="121" customWidth="1"/>
    <col min="6" max="6" width="12.5" style="121" customWidth="1"/>
    <col min="7" max="7" width="14" style="121" customWidth="1"/>
    <col min="8" max="8" width="13.5" style="121" customWidth="1"/>
    <col min="9" max="10" width="16.6640625" style="121" customWidth="1"/>
    <col min="11" max="11" width="26.6640625" style="121" customWidth="1"/>
    <col min="12" max="251" width="9.1640625" style="121"/>
    <col min="252" max="252" width="71" style="121" customWidth="1"/>
    <col min="253" max="253" width="22.6640625" style="121" bestFit="1" customWidth="1"/>
    <col min="254" max="254" width="33" style="121" bestFit="1" customWidth="1"/>
    <col min="255" max="255" width="26.5" style="121" bestFit="1" customWidth="1"/>
    <col min="256" max="256" width="22.6640625" style="121" bestFit="1" customWidth="1"/>
    <col min="257" max="257" width="33" style="121" bestFit="1" customWidth="1"/>
    <col min="258" max="258" width="26.5" style="121" customWidth="1"/>
    <col min="259" max="259" width="22.6640625" style="121" bestFit="1" customWidth="1"/>
    <col min="260" max="261" width="33" style="121" bestFit="1" customWidth="1"/>
    <col min="262" max="262" width="22.6640625" style="121" bestFit="1" customWidth="1"/>
    <col min="263" max="263" width="33" style="121" bestFit="1" customWidth="1"/>
    <col min="264" max="264" width="25.6640625" style="121" customWidth="1"/>
    <col min="265" max="266" width="16.6640625" style="121" customWidth="1"/>
    <col min="267" max="267" width="26.6640625" style="121" customWidth="1"/>
    <col min="268" max="507" width="9.1640625" style="121"/>
    <col min="508" max="508" width="71" style="121" customWidth="1"/>
    <col min="509" max="509" width="22.6640625" style="121" bestFit="1" customWidth="1"/>
    <col min="510" max="510" width="33" style="121" bestFit="1" customWidth="1"/>
    <col min="511" max="511" width="26.5" style="121" bestFit="1" customWidth="1"/>
    <col min="512" max="512" width="22.6640625" style="121" bestFit="1" customWidth="1"/>
    <col min="513" max="513" width="33" style="121" bestFit="1" customWidth="1"/>
    <col min="514" max="514" width="26.5" style="121" customWidth="1"/>
    <col min="515" max="515" width="22.6640625" style="121" bestFit="1" customWidth="1"/>
    <col min="516" max="517" width="33" style="121" bestFit="1" customWidth="1"/>
    <col min="518" max="518" width="22.6640625" style="121" bestFit="1" customWidth="1"/>
    <col min="519" max="519" width="33" style="121" bestFit="1" customWidth="1"/>
    <col min="520" max="520" width="25.6640625" style="121" customWidth="1"/>
    <col min="521" max="522" width="16.6640625" style="121" customWidth="1"/>
    <col min="523" max="523" width="26.6640625" style="121" customWidth="1"/>
    <col min="524" max="763" width="9.1640625" style="121"/>
    <col min="764" max="764" width="71" style="121" customWidth="1"/>
    <col min="765" max="765" width="22.6640625" style="121" bestFit="1" customWidth="1"/>
    <col min="766" max="766" width="33" style="121" bestFit="1" customWidth="1"/>
    <col min="767" max="767" width="26.5" style="121" bestFit="1" customWidth="1"/>
    <col min="768" max="768" width="22.6640625" style="121" bestFit="1" customWidth="1"/>
    <col min="769" max="769" width="33" style="121" bestFit="1" customWidth="1"/>
    <col min="770" max="770" width="26.5" style="121" customWidth="1"/>
    <col min="771" max="771" width="22.6640625" style="121" bestFit="1" customWidth="1"/>
    <col min="772" max="773" width="33" style="121" bestFit="1" customWidth="1"/>
    <col min="774" max="774" width="22.6640625" style="121" bestFit="1" customWidth="1"/>
    <col min="775" max="775" width="33" style="121" bestFit="1" customWidth="1"/>
    <col min="776" max="776" width="25.6640625" style="121" customWidth="1"/>
    <col min="777" max="778" width="16.6640625" style="121" customWidth="1"/>
    <col min="779" max="779" width="26.6640625" style="121" customWidth="1"/>
    <col min="780" max="1019" width="9.1640625" style="121"/>
    <col min="1020" max="1020" width="71" style="121" customWidth="1"/>
    <col min="1021" max="1021" width="22.6640625" style="121" bestFit="1" customWidth="1"/>
    <col min="1022" max="1022" width="33" style="121" bestFit="1" customWidth="1"/>
    <col min="1023" max="1023" width="26.5" style="121" bestFit="1" customWidth="1"/>
    <col min="1024" max="1024" width="22.6640625" style="121" bestFit="1" customWidth="1"/>
    <col min="1025" max="1025" width="33" style="121" bestFit="1" customWidth="1"/>
    <col min="1026" max="1026" width="26.5" style="121" customWidth="1"/>
    <col min="1027" max="1027" width="22.6640625" style="121" bestFit="1" customWidth="1"/>
    <col min="1028" max="1029" width="33" style="121" bestFit="1" customWidth="1"/>
    <col min="1030" max="1030" width="22.6640625" style="121" bestFit="1" customWidth="1"/>
    <col min="1031" max="1031" width="33" style="121" bestFit="1" customWidth="1"/>
    <col min="1032" max="1032" width="25.6640625" style="121" customWidth="1"/>
    <col min="1033" max="1034" width="16.6640625" style="121" customWidth="1"/>
    <col min="1035" max="1035" width="26.6640625" style="121" customWidth="1"/>
    <col min="1036" max="1275" width="9.1640625" style="121"/>
    <col min="1276" max="1276" width="71" style="121" customWidth="1"/>
    <col min="1277" max="1277" width="22.6640625" style="121" bestFit="1" customWidth="1"/>
    <col min="1278" max="1278" width="33" style="121" bestFit="1" customWidth="1"/>
    <col min="1279" max="1279" width="26.5" style="121" bestFit="1" customWidth="1"/>
    <col min="1280" max="1280" width="22.6640625" style="121" bestFit="1" customWidth="1"/>
    <col min="1281" max="1281" width="33" style="121" bestFit="1" customWidth="1"/>
    <col min="1282" max="1282" width="26.5" style="121" customWidth="1"/>
    <col min="1283" max="1283" width="22.6640625" style="121" bestFit="1" customWidth="1"/>
    <col min="1284" max="1285" width="33" style="121" bestFit="1" customWidth="1"/>
    <col min="1286" max="1286" width="22.6640625" style="121" bestFit="1" customWidth="1"/>
    <col min="1287" max="1287" width="33" style="121" bestFit="1" customWidth="1"/>
    <col min="1288" max="1288" width="25.6640625" style="121" customWidth="1"/>
    <col min="1289" max="1290" width="16.6640625" style="121" customWidth="1"/>
    <col min="1291" max="1291" width="26.6640625" style="121" customWidth="1"/>
    <col min="1292" max="1531" width="9.1640625" style="121"/>
    <col min="1532" max="1532" width="71" style="121" customWidth="1"/>
    <col min="1533" max="1533" width="22.6640625" style="121" bestFit="1" customWidth="1"/>
    <col min="1534" max="1534" width="33" style="121" bestFit="1" customWidth="1"/>
    <col min="1535" max="1535" width="26.5" style="121" bestFit="1" customWidth="1"/>
    <col min="1536" max="1536" width="22.6640625" style="121" bestFit="1" customWidth="1"/>
    <col min="1537" max="1537" width="33" style="121" bestFit="1" customWidth="1"/>
    <col min="1538" max="1538" width="26.5" style="121" customWidth="1"/>
    <col min="1539" max="1539" width="22.6640625" style="121" bestFit="1" customWidth="1"/>
    <col min="1540" max="1541" width="33" style="121" bestFit="1" customWidth="1"/>
    <col min="1542" max="1542" width="22.6640625" style="121" bestFit="1" customWidth="1"/>
    <col min="1543" max="1543" width="33" style="121" bestFit="1" customWidth="1"/>
    <col min="1544" max="1544" width="25.6640625" style="121" customWidth="1"/>
    <col min="1545" max="1546" width="16.6640625" style="121" customWidth="1"/>
    <col min="1547" max="1547" width="26.6640625" style="121" customWidth="1"/>
    <col min="1548" max="1787" width="9.1640625" style="121"/>
    <col min="1788" max="1788" width="71" style="121" customWidth="1"/>
    <col min="1789" max="1789" width="22.6640625" style="121" bestFit="1" customWidth="1"/>
    <col min="1790" max="1790" width="33" style="121" bestFit="1" customWidth="1"/>
    <col min="1791" max="1791" width="26.5" style="121" bestFit="1" customWidth="1"/>
    <col min="1792" max="1792" width="22.6640625" style="121" bestFit="1" customWidth="1"/>
    <col min="1793" max="1793" width="33" style="121" bestFit="1" customWidth="1"/>
    <col min="1794" max="1794" width="26.5" style="121" customWidth="1"/>
    <col min="1795" max="1795" width="22.6640625" style="121" bestFit="1" customWidth="1"/>
    <col min="1796" max="1797" width="33" style="121" bestFit="1" customWidth="1"/>
    <col min="1798" max="1798" width="22.6640625" style="121" bestFit="1" customWidth="1"/>
    <col min="1799" max="1799" width="33" style="121" bestFit="1" customWidth="1"/>
    <col min="1800" max="1800" width="25.6640625" style="121" customWidth="1"/>
    <col min="1801" max="1802" width="16.6640625" style="121" customWidth="1"/>
    <col min="1803" max="1803" width="26.6640625" style="121" customWidth="1"/>
    <col min="1804" max="2043" width="9.1640625" style="121"/>
    <col min="2044" max="2044" width="71" style="121" customWidth="1"/>
    <col min="2045" max="2045" width="22.6640625" style="121" bestFit="1" customWidth="1"/>
    <col min="2046" max="2046" width="33" style="121" bestFit="1" customWidth="1"/>
    <col min="2047" max="2047" width="26.5" style="121" bestFit="1" customWidth="1"/>
    <col min="2048" max="2048" width="22.6640625" style="121" bestFit="1" customWidth="1"/>
    <col min="2049" max="2049" width="33" style="121" bestFit="1" customWidth="1"/>
    <col min="2050" max="2050" width="26.5" style="121" customWidth="1"/>
    <col min="2051" max="2051" width="22.6640625" style="121" bestFit="1" customWidth="1"/>
    <col min="2052" max="2053" width="33" style="121" bestFit="1" customWidth="1"/>
    <col min="2054" max="2054" width="22.6640625" style="121" bestFit="1" customWidth="1"/>
    <col min="2055" max="2055" width="33" style="121" bestFit="1" customWidth="1"/>
    <col min="2056" max="2056" width="25.6640625" style="121" customWidth="1"/>
    <col min="2057" max="2058" width="16.6640625" style="121" customWidth="1"/>
    <col min="2059" max="2059" width="26.6640625" style="121" customWidth="1"/>
    <col min="2060" max="2299" width="9.1640625" style="121"/>
    <col min="2300" max="2300" width="71" style="121" customWidth="1"/>
    <col min="2301" max="2301" width="22.6640625" style="121" bestFit="1" customWidth="1"/>
    <col min="2302" max="2302" width="33" style="121" bestFit="1" customWidth="1"/>
    <col min="2303" max="2303" width="26.5" style="121" bestFit="1" customWidth="1"/>
    <col min="2304" max="2304" width="22.6640625" style="121" bestFit="1" customWidth="1"/>
    <col min="2305" max="2305" width="33" style="121" bestFit="1" customWidth="1"/>
    <col min="2306" max="2306" width="26.5" style="121" customWidth="1"/>
    <col min="2307" max="2307" width="22.6640625" style="121" bestFit="1" customWidth="1"/>
    <col min="2308" max="2309" width="33" style="121" bestFit="1" customWidth="1"/>
    <col min="2310" max="2310" width="22.6640625" style="121" bestFit="1" customWidth="1"/>
    <col min="2311" max="2311" width="33" style="121" bestFit="1" customWidth="1"/>
    <col min="2312" max="2312" width="25.6640625" style="121" customWidth="1"/>
    <col min="2313" max="2314" width="16.6640625" style="121" customWidth="1"/>
    <col min="2315" max="2315" width="26.6640625" style="121" customWidth="1"/>
    <col min="2316" max="2555" width="9.1640625" style="121"/>
    <col min="2556" max="2556" width="71" style="121" customWidth="1"/>
    <col min="2557" max="2557" width="22.6640625" style="121" bestFit="1" customWidth="1"/>
    <col min="2558" max="2558" width="33" style="121" bestFit="1" customWidth="1"/>
    <col min="2559" max="2559" width="26.5" style="121" bestFit="1" customWidth="1"/>
    <col min="2560" max="2560" width="22.6640625" style="121" bestFit="1" customWidth="1"/>
    <col min="2561" max="2561" width="33" style="121" bestFit="1" customWidth="1"/>
    <col min="2562" max="2562" width="26.5" style="121" customWidth="1"/>
    <col min="2563" max="2563" width="22.6640625" style="121" bestFit="1" customWidth="1"/>
    <col min="2564" max="2565" width="33" style="121" bestFit="1" customWidth="1"/>
    <col min="2566" max="2566" width="22.6640625" style="121" bestFit="1" customWidth="1"/>
    <col min="2567" max="2567" width="33" style="121" bestFit="1" customWidth="1"/>
    <col min="2568" max="2568" width="25.6640625" style="121" customWidth="1"/>
    <col min="2569" max="2570" width="16.6640625" style="121" customWidth="1"/>
    <col min="2571" max="2571" width="26.6640625" style="121" customWidth="1"/>
    <col min="2572" max="2811" width="9.1640625" style="121"/>
    <col min="2812" max="2812" width="71" style="121" customWidth="1"/>
    <col min="2813" max="2813" width="22.6640625" style="121" bestFit="1" customWidth="1"/>
    <col min="2814" max="2814" width="33" style="121" bestFit="1" customWidth="1"/>
    <col min="2815" max="2815" width="26.5" style="121" bestFit="1" customWidth="1"/>
    <col min="2816" max="2816" width="22.6640625" style="121" bestFit="1" customWidth="1"/>
    <col min="2817" max="2817" width="33" style="121" bestFit="1" customWidth="1"/>
    <col min="2818" max="2818" width="26.5" style="121" customWidth="1"/>
    <col min="2819" max="2819" width="22.6640625" style="121" bestFit="1" customWidth="1"/>
    <col min="2820" max="2821" width="33" style="121" bestFit="1" customWidth="1"/>
    <col min="2822" max="2822" width="22.6640625" style="121" bestFit="1" customWidth="1"/>
    <col min="2823" max="2823" width="33" style="121" bestFit="1" customWidth="1"/>
    <col min="2824" max="2824" width="25.6640625" style="121" customWidth="1"/>
    <col min="2825" max="2826" width="16.6640625" style="121" customWidth="1"/>
    <col min="2827" max="2827" width="26.6640625" style="121" customWidth="1"/>
    <col min="2828" max="3067" width="9.1640625" style="121"/>
    <col min="3068" max="3068" width="71" style="121" customWidth="1"/>
    <col min="3069" max="3069" width="22.6640625" style="121" bestFit="1" customWidth="1"/>
    <col min="3070" max="3070" width="33" style="121" bestFit="1" customWidth="1"/>
    <col min="3071" max="3071" width="26.5" style="121" bestFit="1" customWidth="1"/>
    <col min="3072" max="3072" width="22.6640625" style="121" bestFit="1" customWidth="1"/>
    <col min="3073" max="3073" width="33" style="121" bestFit="1" customWidth="1"/>
    <col min="3074" max="3074" width="26.5" style="121" customWidth="1"/>
    <col min="3075" max="3075" width="22.6640625" style="121" bestFit="1" customWidth="1"/>
    <col min="3076" max="3077" width="33" style="121" bestFit="1" customWidth="1"/>
    <col min="3078" max="3078" width="22.6640625" style="121" bestFit="1" customWidth="1"/>
    <col min="3079" max="3079" width="33" style="121" bestFit="1" customWidth="1"/>
    <col min="3080" max="3080" width="25.6640625" style="121" customWidth="1"/>
    <col min="3081" max="3082" width="16.6640625" style="121" customWidth="1"/>
    <col min="3083" max="3083" width="26.6640625" style="121" customWidth="1"/>
    <col min="3084" max="3323" width="9.1640625" style="121"/>
    <col min="3324" max="3324" width="71" style="121" customWidth="1"/>
    <col min="3325" max="3325" width="22.6640625" style="121" bestFit="1" customWidth="1"/>
    <col min="3326" max="3326" width="33" style="121" bestFit="1" customWidth="1"/>
    <col min="3327" max="3327" width="26.5" style="121" bestFit="1" customWidth="1"/>
    <col min="3328" max="3328" width="22.6640625" style="121" bestFit="1" customWidth="1"/>
    <col min="3329" max="3329" width="33" style="121" bestFit="1" customWidth="1"/>
    <col min="3330" max="3330" width="26.5" style="121" customWidth="1"/>
    <col min="3331" max="3331" width="22.6640625" style="121" bestFit="1" customWidth="1"/>
    <col min="3332" max="3333" width="33" style="121" bestFit="1" customWidth="1"/>
    <col min="3334" max="3334" width="22.6640625" style="121" bestFit="1" customWidth="1"/>
    <col min="3335" max="3335" width="33" style="121" bestFit="1" customWidth="1"/>
    <col min="3336" max="3336" width="25.6640625" style="121" customWidth="1"/>
    <col min="3337" max="3338" width="16.6640625" style="121" customWidth="1"/>
    <col min="3339" max="3339" width="26.6640625" style="121" customWidth="1"/>
    <col min="3340" max="3579" width="9.1640625" style="121"/>
    <col min="3580" max="3580" width="71" style="121" customWidth="1"/>
    <col min="3581" max="3581" width="22.6640625" style="121" bestFit="1" customWidth="1"/>
    <col min="3582" max="3582" width="33" style="121" bestFit="1" customWidth="1"/>
    <col min="3583" max="3583" width="26.5" style="121" bestFit="1" customWidth="1"/>
    <col min="3584" max="3584" width="22.6640625" style="121" bestFit="1" customWidth="1"/>
    <col min="3585" max="3585" width="33" style="121" bestFit="1" customWidth="1"/>
    <col min="3586" max="3586" width="26.5" style="121" customWidth="1"/>
    <col min="3587" max="3587" width="22.6640625" style="121" bestFit="1" customWidth="1"/>
    <col min="3588" max="3589" width="33" style="121" bestFit="1" customWidth="1"/>
    <col min="3590" max="3590" width="22.6640625" style="121" bestFit="1" customWidth="1"/>
    <col min="3591" max="3591" width="33" style="121" bestFit="1" customWidth="1"/>
    <col min="3592" max="3592" width="25.6640625" style="121" customWidth="1"/>
    <col min="3593" max="3594" width="16.6640625" style="121" customWidth="1"/>
    <col min="3595" max="3595" width="26.6640625" style="121" customWidth="1"/>
    <col min="3596" max="3835" width="9.1640625" style="121"/>
    <col min="3836" max="3836" width="71" style="121" customWidth="1"/>
    <col min="3837" max="3837" width="22.6640625" style="121" bestFit="1" customWidth="1"/>
    <col min="3838" max="3838" width="33" style="121" bestFit="1" customWidth="1"/>
    <col min="3839" max="3839" width="26.5" style="121" bestFit="1" customWidth="1"/>
    <col min="3840" max="3840" width="22.6640625" style="121" bestFit="1" customWidth="1"/>
    <col min="3841" max="3841" width="33" style="121" bestFit="1" customWidth="1"/>
    <col min="3842" max="3842" width="26.5" style="121" customWidth="1"/>
    <col min="3843" max="3843" width="22.6640625" style="121" bestFit="1" customWidth="1"/>
    <col min="3844" max="3845" width="33" style="121" bestFit="1" customWidth="1"/>
    <col min="3846" max="3846" width="22.6640625" style="121" bestFit="1" customWidth="1"/>
    <col min="3847" max="3847" width="33" style="121" bestFit="1" customWidth="1"/>
    <col min="3848" max="3848" width="25.6640625" style="121" customWidth="1"/>
    <col min="3849" max="3850" width="16.6640625" style="121" customWidth="1"/>
    <col min="3851" max="3851" width="26.6640625" style="121" customWidth="1"/>
    <col min="3852" max="4091" width="9.1640625" style="121"/>
    <col min="4092" max="4092" width="71" style="121" customWidth="1"/>
    <col min="4093" max="4093" width="22.6640625" style="121" bestFit="1" customWidth="1"/>
    <col min="4094" max="4094" width="33" style="121" bestFit="1" customWidth="1"/>
    <col min="4095" max="4095" width="26.5" style="121" bestFit="1" customWidth="1"/>
    <col min="4096" max="4096" width="22.6640625" style="121" bestFit="1" customWidth="1"/>
    <col min="4097" max="4097" width="33" style="121" bestFit="1" customWidth="1"/>
    <col min="4098" max="4098" width="26.5" style="121" customWidth="1"/>
    <col min="4099" max="4099" width="22.6640625" style="121" bestFit="1" customWidth="1"/>
    <col min="4100" max="4101" width="33" style="121" bestFit="1" customWidth="1"/>
    <col min="4102" max="4102" width="22.6640625" style="121" bestFit="1" customWidth="1"/>
    <col min="4103" max="4103" width="33" style="121" bestFit="1" customWidth="1"/>
    <col min="4104" max="4104" width="25.6640625" style="121" customWidth="1"/>
    <col min="4105" max="4106" width="16.6640625" style="121" customWidth="1"/>
    <col min="4107" max="4107" width="26.6640625" style="121" customWidth="1"/>
    <col min="4108" max="4347" width="9.1640625" style="121"/>
    <col min="4348" max="4348" width="71" style="121" customWidth="1"/>
    <col min="4349" max="4349" width="22.6640625" style="121" bestFit="1" customWidth="1"/>
    <col min="4350" max="4350" width="33" style="121" bestFit="1" customWidth="1"/>
    <col min="4351" max="4351" width="26.5" style="121" bestFit="1" customWidth="1"/>
    <col min="4352" max="4352" width="22.6640625" style="121" bestFit="1" customWidth="1"/>
    <col min="4353" max="4353" width="33" style="121" bestFit="1" customWidth="1"/>
    <col min="4354" max="4354" width="26.5" style="121" customWidth="1"/>
    <col min="4355" max="4355" width="22.6640625" style="121" bestFit="1" customWidth="1"/>
    <col min="4356" max="4357" width="33" style="121" bestFit="1" customWidth="1"/>
    <col min="4358" max="4358" width="22.6640625" style="121" bestFit="1" customWidth="1"/>
    <col min="4359" max="4359" width="33" style="121" bestFit="1" customWidth="1"/>
    <col min="4360" max="4360" width="25.6640625" style="121" customWidth="1"/>
    <col min="4361" max="4362" width="16.6640625" style="121" customWidth="1"/>
    <col min="4363" max="4363" width="26.6640625" style="121" customWidth="1"/>
    <col min="4364" max="4603" width="9.1640625" style="121"/>
    <col min="4604" max="4604" width="71" style="121" customWidth="1"/>
    <col min="4605" max="4605" width="22.6640625" style="121" bestFit="1" customWidth="1"/>
    <col min="4606" max="4606" width="33" style="121" bestFit="1" customWidth="1"/>
    <col min="4607" max="4607" width="26.5" style="121" bestFit="1" customWidth="1"/>
    <col min="4608" max="4608" width="22.6640625" style="121" bestFit="1" customWidth="1"/>
    <col min="4609" max="4609" width="33" style="121" bestFit="1" customWidth="1"/>
    <col min="4610" max="4610" width="26.5" style="121" customWidth="1"/>
    <col min="4611" max="4611" width="22.6640625" style="121" bestFit="1" customWidth="1"/>
    <col min="4612" max="4613" width="33" style="121" bestFit="1" customWidth="1"/>
    <col min="4614" max="4614" width="22.6640625" style="121" bestFit="1" customWidth="1"/>
    <col min="4615" max="4615" width="33" style="121" bestFit="1" customWidth="1"/>
    <col min="4616" max="4616" width="25.6640625" style="121" customWidth="1"/>
    <col min="4617" max="4618" width="16.6640625" style="121" customWidth="1"/>
    <col min="4619" max="4619" width="26.6640625" style="121" customWidth="1"/>
    <col min="4620" max="4859" width="9.1640625" style="121"/>
    <col min="4860" max="4860" width="71" style="121" customWidth="1"/>
    <col min="4861" max="4861" width="22.6640625" style="121" bestFit="1" customWidth="1"/>
    <col min="4862" max="4862" width="33" style="121" bestFit="1" customWidth="1"/>
    <col min="4863" max="4863" width="26.5" style="121" bestFit="1" customWidth="1"/>
    <col min="4864" max="4864" width="22.6640625" style="121" bestFit="1" customWidth="1"/>
    <col min="4865" max="4865" width="33" style="121" bestFit="1" customWidth="1"/>
    <col min="4866" max="4866" width="26.5" style="121" customWidth="1"/>
    <col min="4867" max="4867" width="22.6640625" style="121" bestFit="1" customWidth="1"/>
    <col min="4868" max="4869" width="33" style="121" bestFit="1" customWidth="1"/>
    <col min="4870" max="4870" width="22.6640625" style="121" bestFit="1" customWidth="1"/>
    <col min="4871" max="4871" width="33" style="121" bestFit="1" customWidth="1"/>
    <col min="4872" max="4872" width="25.6640625" style="121" customWidth="1"/>
    <col min="4873" max="4874" width="16.6640625" style="121" customWidth="1"/>
    <col min="4875" max="4875" width="26.6640625" style="121" customWidth="1"/>
    <col min="4876" max="5115" width="9.1640625" style="121"/>
    <col min="5116" max="5116" width="71" style="121" customWidth="1"/>
    <col min="5117" max="5117" width="22.6640625" style="121" bestFit="1" customWidth="1"/>
    <col min="5118" max="5118" width="33" style="121" bestFit="1" customWidth="1"/>
    <col min="5119" max="5119" width="26.5" style="121" bestFit="1" customWidth="1"/>
    <col min="5120" max="5120" width="22.6640625" style="121" bestFit="1" customWidth="1"/>
    <col min="5121" max="5121" width="33" style="121" bestFit="1" customWidth="1"/>
    <col min="5122" max="5122" width="26.5" style="121" customWidth="1"/>
    <col min="5123" max="5123" width="22.6640625" style="121" bestFit="1" customWidth="1"/>
    <col min="5124" max="5125" width="33" style="121" bestFit="1" customWidth="1"/>
    <col min="5126" max="5126" width="22.6640625" style="121" bestFit="1" customWidth="1"/>
    <col min="5127" max="5127" width="33" style="121" bestFit="1" customWidth="1"/>
    <col min="5128" max="5128" width="25.6640625" style="121" customWidth="1"/>
    <col min="5129" max="5130" width="16.6640625" style="121" customWidth="1"/>
    <col min="5131" max="5131" width="26.6640625" style="121" customWidth="1"/>
    <col min="5132" max="5371" width="9.1640625" style="121"/>
    <col min="5372" max="5372" width="71" style="121" customWidth="1"/>
    <col min="5373" max="5373" width="22.6640625" style="121" bestFit="1" customWidth="1"/>
    <col min="5374" max="5374" width="33" style="121" bestFit="1" customWidth="1"/>
    <col min="5375" max="5375" width="26.5" style="121" bestFit="1" customWidth="1"/>
    <col min="5376" max="5376" width="22.6640625" style="121" bestFit="1" customWidth="1"/>
    <col min="5377" max="5377" width="33" style="121" bestFit="1" customWidth="1"/>
    <col min="5378" max="5378" width="26.5" style="121" customWidth="1"/>
    <col min="5379" max="5379" width="22.6640625" style="121" bestFit="1" customWidth="1"/>
    <col min="5380" max="5381" width="33" style="121" bestFit="1" customWidth="1"/>
    <col min="5382" max="5382" width="22.6640625" style="121" bestFit="1" customWidth="1"/>
    <col min="5383" max="5383" width="33" style="121" bestFit="1" customWidth="1"/>
    <col min="5384" max="5384" width="25.6640625" style="121" customWidth="1"/>
    <col min="5385" max="5386" width="16.6640625" style="121" customWidth="1"/>
    <col min="5387" max="5387" width="26.6640625" style="121" customWidth="1"/>
    <col min="5388" max="5627" width="9.1640625" style="121"/>
    <col min="5628" max="5628" width="71" style="121" customWidth="1"/>
    <col min="5629" max="5629" width="22.6640625" style="121" bestFit="1" customWidth="1"/>
    <col min="5630" max="5630" width="33" style="121" bestFit="1" customWidth="1"/>
    <col min="5631" max="5631" width="26.5" style="121" bestFit="1" customWidth="1"/>
    <col min="5632" max="5632" width="22.6640625" style="121" bestFit="1" customWidth="1"/>
    <col min="5633" max="5633" width="33" style="121" bestFit="1" customWidth="1"/>
    <col min="5634" max="5634" width="26.5" style="121" customWidth="1"/>
    <col min="5635" max="5635" width="22.6640625" style="121" bestFit="1" customWidth="1"/>
    <col min="5636" max="5637" width="33" style="121" bestFit="1" customWidth="1"/>
    <col min="5638" max="5638" width="22.6640625" style="121" bestFit="1" customWidth="1"/>
    <col min="5639" max="5639" width="33" style="121" bestFit="1" customWidth="1"/>
    <col min="5640" max="5640" width="25.6640625" style="121" customWidth="1"/>
    <col min="5641" max="5642" width="16.6640625" style="121" customWidth="1"/>
    <col min="5643" max="5643" width="26.6640625" style="121" customWidth="1"/>
    <col min="5644" max="5883" width="9.1640625" style="121"/>
    <col min="5884" max="5884" width="71" style="121" customWidth="1"/>
    <col min="5885" max="5885" width="22.6640625" style="121" bestFit="1" customWidth="1"/>
    <col min="5886" max="5886" width="33" style="121" bestFit="1" customWidth="1"/>
    <col min="5887" max="5887" width="26.5" style="121" bestFit="1" customWidth="1"/>
    <col min="5888" max="5888" width="22.6640625" style="121" bestFit="1" customWidth="1"/>
    <col min="5889" max="5889" width="33" style="121" bestFit="1" customWidth="1"/>
    <col min="5890" max="5890" width="26.5" style="121" customWidth="1"/>
    <col min="5891" max="5891" width="22.6640625" style="121" bestFit="1" customWidth="1"/>
    <col min="5892" max="5893" width="33" style="121" bestFit="1" customWidth="1"/>
    <col min="5894" max="5894" width="22.6640625" style="121" bestFit="1" customWidth="1"/>
    <col min="5895" max="5895" width="33" style="121" bestFit="1" customWidth="1"/>
    <col min="5896" max="5896" width="25.6640625" style="121" customWidth="1"/>
    <col min="5897" max="5898" width="16.6640625" style="121" customWidth="1"/>
    <col min="5899" max="5899" width="26.6640625" style="121" customWidth="1"/>
    <col min="5900" max="6139" width="9.1640625" style="121"/>
    <col min="6140" max="6140" width="71" style="121" customWidth="1"/>
    <col min="6141" max="6141" width="22.6640625" style="121" bestFit="1" customWidth="1"/>
    <col min="6142" max="6142" width="33" style="121" bestFit="1" customWidth="1"/>
    <col min="6143" max="6143" width="26.5" style="121" bestFit="1" customWidth="1"/>
    <col min="6144" max="6144" width="22.6640625" style="121" bestFit="1" customWidth="1"/>
    <col min="6145" max="6145" width="33" style="121" bestFit="1" customWidth="1"/>
    <col min="6146" max="6146" width="26.5" style="121" customWidth="1"/>
    <col min="6147" max="6147" width="22.6640625" style="121" bestFit="1" customWidth="1"/>
    <col min="6148" max="6149" width="33" style="121" bestFit="1" customWidth="1"/>
    <col min="6150" max="6150" width="22.6640625" style="121" bestFit="1" customWidth="1"/>
    <col min="6151" max="6151" width="33" style="121" bestFit="1" customWidth="1"/>
    <col min="6152" max="6152" width="25.6640625" style="121" customWidth="1"/>
    <col min="6153" max="6154" width="16.6640625" style="121" customWidth="1"/>
    <col min="6155" max="6155" width="26.6640625" style="121" customWidth="1"/>
    <col min="6156" max="6395" width="9.1640625" style="121"/>
    <col min="6396" max="6396" width="71" style="121" customWidth="1"/>
    <col min="6397" max="6397" width="22.6640625" style="121" bestFit="1" customWidth="1"/>
    <col min="6398" max="6398" width="33" style="121" bestFit="1" customWidth="1"/>
    <col min="6399" max="6399" width="26.5" style="121" bestFit="1" customWidth="1"/>
    <col min="6400" max="6400" width="22.6640625" style="121" bestFit="1" customWidth="1"/>
    <col min="6401" max="6401" width="33" style="121" bestFit="1" customWidth="1"/>
    <col min="6402" max="6402" width="26.5" style="121" customWidth="1"/>
    <col min="6403" max="6403" width="22.6640625" style="121" bestFit="1" customWidth="1"/>
    <col min="6404" max="6405" width="33" style="121" bestFit="1" customWidth="1"/>
    <col min="6406" max="6406" width="22.6640625" style="121" bestFit="1" customWidth="1"/>
    <col min="6407" max="6407" width="33" style="121" bestFit="1" customWidth="1"/>
    <col min="6408" max="6408" width="25.6640625" style="121" customWidth="1"/>
    <col min="6409" max="6410" width="16.6640625" style="121" customWidth="1"/>
    <col min="6411" max="6411" width="26.6640625" style="121" customWidth="1"/>
    <col min="6412" max="6651" width="9.1640625" style="121"/>
    <col min="6652" max="6652" width="71" style="121" customWidth="1"/>
    <col min="6653" max="6653" width="22.6640625" style="121" bestFit="1" customWidth="1"/>
    <col min="6654" max="6654" width="33" style="121" bestFit="1" customWidth="1"/>
    <col min="6655" max="6655" width="26.5" style="121" bestFit="1" customWidth="1"/>
    <col min="6656" max="6656" width="22.6640625" style="121" bestFit="1" customWidth="1"/>
    <col min="6657" max="6657" width="33" style="121" bestFit="1" customWidth="1"/>
    <col min="6658" max="6658" width="26.5" style="121" customWidth="1"/>
    <col min="6659" max="6659" width="22.6640625" style="121" bestFit="1" customWidth="1"/>
    <col min="6660" max="6661" width="33" style="121" bestFit="1" customWidth="1"/>
    <col min="6662" max="6662" width="22.6640625" style="121" bestFit="1" customWidth="1"/>
    <col min="6663" max="6663" width="33" style="121" bestFit="1" customWidth="1"/>
    <col min="6664" max="6664" width="25.6640625" style="121" customWidth="1"/>
    <col min="6665" max="6666" width="16.6640625" style="121" customWidth="1"/>
    <col min="6667" max="6667" width="26.6640625" style="121" customWidth="1"/>
    <col min="6668" max="6907" width="9.1640625" style="121"/>
    <col min="6908" max="6908" width="71" style="121" customWidth="1"/>
    <col min="6909" max="6909" width="22.6640625" style="121" bestFit="1" customWidth="1"/>
    <col min="6910" max="6910" width="33" style="121" bestFit="1" customWidth="1"/>
    <col min="6911" max="6911" width="26.5" style="121" bestFit="1" customWidth="1"/>
    <col min="6912" max="6912" width="22.6640625" style="121" bestFit="1" customWidth="1"/>
    <col min="6913" max="6913" width="33" style="121" bestFit="1" customWidth="1"/>
    <col min="6914" max="6914" width="26.5" style="121" customWidth="1"/>
    <col min="6915" max="6915" width="22.6640625" style="121" bestFit="1" customWidth="1"/>
    <col min="6916" max="6917" width="33" style="121" bestFit="1" customWidth="1"/>
    <col min="6918" max="6918" width="22.6640625" style="121" bestFit="1" customWidth="1"/>
    <col min="6919" max="6919" width="33" style="121" bestFit="1" customWidth="1"/>
    <col min="6920" max="6920" width="25.6640625" style="121" customWidth="1"/>
    <col min="6921" max="6922" width="16.6640625" style="121" customWidth="1"/>
    <col min="6923" max="6923" width="26.6640625" style="121" customWidth="1"/>
    <col min="6924" max="7163" width="9.1640625" style="121"/>
    <col min="7164" max="7164" width="71" style="121" customWidth="1"/>
    <col min="7165" max="7165" width="22.6640625" style="121" bestFit="1" customWidth="1"/>
    <col min="7166" max="7166" width="33" style="121" bestFit="1" customWidth="1"/>
    <col min="7167" max="7167" width="26.5" style="121" bestFit="1" customWidth="1"/>
    <col min="7168" max="7168" width="22.6640625" style="121" bestFit="1" customWidth="1"/>
    <col min="7169" max="7169" width="33" style="121" bestFit="1" customWidth="1"/>
    <col min="7170" max="7170" width="26.5" style="121" customWidth="1"/>
    <col min="7171" max="7171" width="22.6640625" style="121" bestFit="1" customWidth="1"/>
    <col min="7172" max="7173" width="33" style="121" bestFit="1" customWidth="1"/>
    <col min="7174" max="7174" width="22.6640625" style="121" bestFit="1" customWidth="1"/>
    <col min="7175" max="7175" width="33" style="121" bestFit="1" customWidth="1"/>
    <col min="7176" max="7176" width="25.6640625" style="121" customWidth="1"/>
    <col min="7177" max="7178" width="16.6640625" style="121" customWidth="1"/>
    <col min="7179" max="7179" width="26.6640625" style="121" customWidth="1"/>
    <col min="7180" max="7419" width="9.1640625" style="121"/>
    <col min="7420" max="7420" width="71" style="121" customWidth="1"/>
    <col min="7421" max="7421" width="22.6640625" style="121" bestFit="1" customWidth="1"/>
    <col min="7422" max="7422" width="33" style="121" bestFit="1" customWidth="1"/>
    <col min="7423" max="7423" width="26.5" style="121" bestFit="1" customWidth="1"/>
    <col min="7424" max="7424" width="22.6640625" style="121" bestFit="1" customWidth="1"/>
    <col min="7425" max="7425" width="33" style="121" bestFit="1" customWidth="1"/>
    <col min="7426" max="7426" width="26.5" style="121" customWidth="1"/>
    <col min="7427" max="7427" width="22.6640625" style="121" bestFit="1" customWidth="1"/>
    <col min="7428" max="7429" width="33" style="121" bestFit="1" customWidth="1"/>
    <col min="7430" max="7430" width="22.6640625" style="121" bestFit="1" customWidth="1"/>
    <col min="7431" max="7431" width="33" style="121" bestFit="1" customWidth="1"/>
    <col min="7432" max="7432" width="25.6640625" style="121" customWidth="1"/>
    <col min="7433" max="7434" width="16.6640625" style="121" customWidth="1"/>
    <col min="7435" max="7435" width="26.6640625" style="121" customWidth="1"/>
    <col min="7436" max="7675" width="9.1640625" style="121"/>
    <col min="7676" max="7676" width="71" style="121" customWidth="1"/>
    <col min="7677" max="7677" width="22.6640625" style="121" bestFit="1" customWidth="1"/>
    <col min="7678" max="7678" width="33" style="121" bestFit="1" customWidth="1"/>
    <col min="7679" max="7679" width="26.5" style="121" bestFit="1" customWidth="1"/>
    <col min="7680" max="7680" width="22.6640625" style="121" bestFit="1" customWidth="1"/>
    <col min="7681" max="7681" width="33" style="121" bestFit="1" customWidth="1"/>
    <col min="7682" max="7682" width="26.5" style="121" customWidth="1"/>
    <col min="7683" max="7683" width="22.6640625" style="121" bestFit="1" customWidth="1"/>
    <col min="7684" max="7685" width="33" style="121" bestFit="1" customWidth="1"/>
    <col min="7686" max="7686" width="22.6640625" style="121" bestFit="1" customWidth="1"/>
    <col min="7687" max="7687" width="33" style="121" bestFit="1" customWidth="1"/>
    <col min="7688" max="7688" width="25.6640625" style="121" customWidth="1"/>
    <col min="7689" max="7690" width="16.6640625" style="121" customWidth="1"/>
    <col min="7691" max="7691" width="26.6640625" style="121" customWidth="1"/>
    <col min="7692" max="7931" width="9.1640625" style="121"/>
    <col min="7932" max="7932" width="71" style="121" customWidth="1"/>
    <col min="7933" max="7933" width="22.6640625" style="121" bestFit="1" customWidth="1"/>
    <col min="7934" max="7934" width="33" style="121" bestFit="1" customWidth="1"/>
    <col min="7935" max="7935" width="26.5" style="121" bestFit="1" customWidth="1"/>
    <col min="7936" max="7936" width="22.6640625" style="121" bestFit="1" customWidth="1"/>
    <col min="7937" max="7937" width="33" style="121" bestFit="1" customWidth="1"/>
    <col min="7938" max="7938" width="26.5" style="121" customWidth="1"/>
    <col min="7939" max="7939" width="22.6640625" style="121" bestFit="1" customWidth="1"/>
    <col min="7940" max="7941" width="33" style="121" bestFit="1" customWidth="1"/>
    <col min="7942" max="7942" width="22.6640625" style="121" bestFit="1" customWidth="1"/>
    <col min="7943" max="7943" width="33" style="121" bestFit="1" customWidth="1"/>
    <col min="7944" max="7944" width="25.6640625" style="121" customWidth="1"/>
    <col min="7945" max="7946" width="16.6640625" style="121" customWidth="1"/>
    <col min="7947" max="7947" width="26.6640625" style="121" customWidth="1"/>
    <col min="7948" max="8187" width="9.1640625" style="121"/>
    <col min="8188" max="8188" width="71" style="121" customWidth="1"/>
    <col min="8189" max="8189" width="22.6640625" style="121" bestFit="1" customWidth="1"/>
    <col min="8190" max="8190" width="33" style="121" bestFit="1" customWidth="1"/>
    <col min="8191" max="8191" width="26.5" style="121" bestFit="1" customWidth="1"/>
    <col min="8192" max="8192" width="22.6640625" style="121" bestFit="1" customWidth="1"/>
    <col min="8193" max="8193" width="33" style="121" bestFit="1" customWidth="1"/>
    <col min="8194" max="8194" width="26.5" style="121" customWidth="1"/>
    <col min="8195" max="8195" width="22.6640625" style="121" bestFit="1" customWidth="1"/>
    <col min="8196" max="8197" width="33" style="121" bestFit="1" customWidth="1"/>
    <col min="8198" max="8198" width="22.6640625" style="121" bestFit="1" customWidth="1"/>
    <col min="8199" max="8199" width="33" style="121" bestFit="1" customWidth="1"/>
    <col min="8200" max="8200" width="25.6640625" style="121" customWidth="1"/>
    <col min="8201" max="8202" width="16.6640625" style="121" customWidth="1"/>
    <col min="8203" max="8203" width="26.6640625" style="121" customWidth="1"/>
    <col min="8204" max="8443" width="9.1640625" style="121"/>
    <col min="8444" max="8444" width="71" style="121" customWidth="1"/>
    <col min="8445" max="8445" width="22.6640625" style="121" bestFit="1" customWidth="1"/>
    <col min="8446" max="8446" width="33" style="121" bestFit="1" customWidth="1"/>
    <col min="8447" max="8447" width="26.5" style="121" bestFit="1" customWidth="1"/>
    <col min="8448" max="8448" width="22.6640625" style="121" bestFit="1" customWidth="1"/>
    <col min="8449" max="8449" width="33" style="121" bestFit="1" customWidth="1"/>
    <col min="8450" max="8450" width="26.5" style="121" customWidth="1"/>
    <col min="8451" max="8451" width="22.6640625" style="121" bestFit="1" customWidth="1"/>
    <col min="8452" max="8453" width="33" style="121" bestFit="1" customWidth="1"/>
    <col min="8454" max="8454" width="22.6640625" style="121" bestFit="1" customWidth="1"/>
    <col min="8455" max="8455" width="33" style="121" bestFit="1" customWidth="1"/>
    <col min="8456" max="8456" width="25.6640625" style="121" customWidth="1"/>
    <col min="8457" max="8458" width="16.6640625" style="121" customWidth="1"/>
    <col min="8459" max="8459" width="26.6640625" style="121" customWidth="1"/>
    <col min="8460" max="8699" width="9.1640625" style="121"/>
    <col min="8700" max="8700" width="71" style="121" customWidth="1"/>
    <col min="8701" max="8701" width="22.6640625" style="121" bestFit="1" customWidth="1"/>
    <col min="8702" max="8702" width="33" style="121" bestFit="1" customWidth="1"/>
    <col min="8703" max="8703" width="26.5" style="121" bestFit="1" customWidth="1"/>
    <col min="8704" max="8704" width="22.6640625" style="121" bestFit="1" customWidth="1"/>
    <col min="8705" max="8705" width="33" style="121" bestFit="1" customWidth="1"/>
    <col min="8706" max="8706" width="26.5" style="121" customWidth="1"/>
    <col min="8707" max="8707" width="22.6640625" style="121" bestFit="1" customWidth="1"/>
    <col min="8708" max="8709" width="33" style="121" bestFit="1" customWidth="1"/>
    <col min="8710" max="8710" width="22.6640625" style="121" bestFit="1" customWidth="1"/>
    <col min="8711" max="8711" width="33" style="121" bestFit="1" customWidth="1"/>
    <col min="8712" max="8712" width="25.6640625" style="121" customWidth="1"/>
    <col min="8713" max="8714" width="16.6640625" style="121" customWidth="1"/>
    <col min="8715" max="8715" width="26.6640625" style="121" customWidth="1"/>
    <col min="8716" max="8955" width="9.1640625" style="121"/>
    <col min="8956" max="8956" width="71" style="121" customWidth="1"/>
    <col min="8957" max="8957" width="22.6640625" style="121" bestFit="1" customWidth="1"/>
    <col min="8958" max="8958" width="33" style="121" bestFit="1" customWidth="1"/>
    <col min="8959" max="8959" width="26.5" style="121" bestFit="1" customWidth="1"/>
    <col min="8960" max="8960" width="22.6640625" style="121" bestFit="1" customWidth="1"/>
    <col min="8961" max="8961" width="33" style="121" bestFit="1" customWidth="1"/>
    <col min="8962" max="8962" width="26.5" style="121" customWidth="1"/>
    <col min="8963" max="8963" width="22.6640625" style="121" bestFit="1" customWidth="1"/>
    <col min="8964" max="8965" width="33" style="121" bestFit="1" customWidth="1"/>
    <col min="8966" max="8966" width="22.6640625" style="121" bestFit="1" customWidth="1"/>
    <col min="8967" max="8967" width="33" style="121" bestFit="1" customWidth="1"/>
    <col min="8968" max="8968" width="25.6640625" style="121" customWidth="1"/>
    <col min="8969" max="8970" width="16.6640625" style="121" customWidth="1"/>
    <col min="8971" max="8971" width="26.6640625" style="121" customWidth="1"/>
    <col min="8972" max="9211" width="9.1640625" style="121"/>
    <col min="9212" max="9212" width="71" style="121" customWidth="1"/>
    <col min="9213" max="9213" width="22.6640625" style="121" bestFit="1" customWidth="1"/>
    <col min="9214" max="9214" width="33" style="121" bestFit="1" customWidth="1"/>
    <col min="9215" max="9215" width="26.5" style="121" bestFit="1" customWidth="1"/>
    <col min="9216" max="9216" width="22.6640625" style="121" bestFit="1" customWidth="1"/>
    <col min="9217" max="9217" width="33" style="121" bestFit="1" customWidth="1"/>
    <col min="9218" max="9218" width="26.5" style="121" customWidth="1"/>
    <col min="9219" max="9219" width="22.6640625" style="121" bestFit="1" customWidth="1"/>
    <col min="9220" max="9221" width="33" style="121" bestFit="1" customWidth="1"/>
    <col min="9222" max="9222" width="22.6640625" style="121" bestFit="1" customWidth="1"/>
    <col min="9223" max="9223" width="33" style="121" bestFit="1" customWidth="1"/>
    <col min="9224" max="9224" width="25.6640625" style="121" customWidth="1"/>
    <col min="9225" max="9226" width="16.6640625" style="121" customWidth="1"/>
    <col min="9227" max="9227" width="26.6640625" style="121" customWidth="1"/>
    <col min="9228" max="9467" width="9.1640625" style="121"/>
    <col min="9468" max="9468" width="71" style="121" customWidth="1"/>
    <col min="9469" max="9469" width="22.6640625" style="121" bestFit="1" customWidth="1"/>
    <col min="9470" max="9470" width="33" style="121" bestFit="1" customWidth="1"/>
    <col min="9471" max="9471" width="26.5" style="121" bestFit="1" customWidth="1"/>
    <col min="9472" max="9472" width="22.6640625" style="121" bestFit="1" customWidth="1"/>
    <col min="9473" max="9473" width="33" style="121" bestFit="1" customWidth="1"/>
    <col min="9474" max="9474" width="26.5" style="121" customWidth="1"/>
    <col min="9475" max="9475" width="22.6640625" style="121" bestFit="1" customWidth="1"/>
    <col min="9476" max="9477" width="33" style="121" bestFit="1" customWidth="1"/>
    <col min="9478" max="9478" width="22.6640625" style="121" bestFit="1" customWidth="1"/>
    <col min="9479" max="9479" width="33" style="121" bestFit="1" customWidth="1"/>
    <col min="9480" max="9480" width="25.6640625" style="121" customWidth="1"/>
    <col min="9481" max="9482" width="16.6640625" style="121" customWidth="1"/>
    <col min="9483" max="9483" width="26.6640625" style="121" customWidth="1"/>
    <col min="9484" max="9723" width="9.1640625" style="121"/>
    <col min="9724" max="9724" width="71" style="121" customWidth="1"/>
    <col min="9725" max="9725" width="22.6640625" style="121" bestFit="1" customWidth="1"/>
    <col min="9726" max="9726" width="33" style="121" bestFit="1" customWidth="1"/>
    <col min="9727" max="9727" width="26.5" style="121" bestFit="1" customWidth="1"/>
    <col min="9728" max="9728" width="22.6640625" style="121" bestFit="1" customWidth="1"/>
    <col min="9729" max="9729" width="33" style="121" bestFit="1" customWidth="1"/>
    <col min="9730" max="9730" width="26.5" style="121" customWidth="1"/>
    <col min="9731" max="9731" width="22.6640625" style="121" bestFit="1" customWidth="1"/>
    <col min="9732" max="9733" width="33" style="121" bestFit="1" customWidth="1"/>
    <col min="9734" max="9734" width="22.6640625" style="121" bestFit="1" customWidth="1"/>
    <col min="9735" max="9735" width="33" style="121" bestFit="1" customWidth="1"/>
    <col min="9736" max="9736" width="25.6640625" style="121" customWidth="1"/>
    <col min="9737" max="9738" width="16.6640625" style="121" customWidth="1"/>
    <col min="9739" max="9739" width="26.6640625" style="121" customWidth="1"/>
    <col min="9740" max="9979" width="9.1640625" style="121"/>
    <col min="9980" max="9980" width="71" style="121" customWidth="1"/>
    <col min="9981" max="9981" width="22.6640625" style="121" bestFit="1" customWidth="1"/>
    <col min="9982" max="9982" width="33" style="121" bestFit="1" customWidth="1"/>
    <col min="9983" max="9983" width="26.5" style="121" bestFit="1" customWidth="1"/>
    <col min="9984" max="9984" width="22.6640625" style="121" bestFit="1" customWidth="1"/>
    <col min="9985" max="9985" width="33" style="121" bestFit="1" customWidth="1"/>
    <col min="9986" max="9986" width="26.5" style="121" customWidth="1"/>
    <col min="9987" max="9987" width="22.6640625" style="121" bestFit="1" customWidth="1"/>
    <col min="9988" max="9989" width="33" style="121" bestFit="1" customWidth="1"/>
    <col min="9990" max="9990" width="22.6640625" style="121" bestFit="1" customWidth="1"/>
    <col min="9991" max="9991" width="33" style="121" bestFit="1" customWidth="1"/>
    <col min="9992" max="9992" width="25.6640625" style="121" customWidth="1"/>
    <col min="9993" max="9994" width="16.6640625" style="121" customWidth="1"/>
    <col min="9995" max="9995" width="26.6640625" style="121" customWidth="1"/>
    <col min="9996" max="10235" width="9.1640625" style="121"/>
    <col min="10236" max="10236" width="71" style="121" customWidth="1"/>
    <col min="10237" max="10237" width="22.6640625" style="121" bestFit="1" customWidth="1"/>
    <col min="10238" max="10238" width="33" style="121" bestFit="1" customWidth="1"/>
    <col min="10239" max="10239" width="26.5" style="121" bestFit="1" customWidth="1"/>
    <col min="10240" max="10240" width="22.6640625" style="121" bestFit="1" customWidth="1"/>
    <col min="10241" max="10241" width="33" style="121" bestFit="1" customWidth="1"/>
    <col min="10242" max="10242" width="26.5" style="121" customWidth="1"/>
    <col min="10243" max="10243" width="22.6640625" style="121" bestFit="1" customWidth="1"/>
    <col min="10244" max="10245" width="33" style="121" bestFit="1" customWidth="1"/>
    <col min="10246" max="10246" width="22.6640625" style="121" bestFit="1" customWidth="1"/>
    <col min="10247" max="10247" width="33" style="121" bestFit="1" customWidth="1"/>
    <col min="10248" max="10248" width="25.6640625" style="121" customWidth="1"/>
    <col min="10249" max="10250" width="16.6640625" style="121" customWidth="1"/>
    <col min="10251" max="10251" width="26.6640625" style="121" customWidth="1"/>
    <col min="10252" max="10491" width="9.1640625" style="121"/>
    <col min="10492" max="10492" width="71" style="121" customWidth="1"/>
    <col min="10493" max="10493" width="22.6640625" style="121" bestFit="1" customWidth="1"/>
    <col min="10494" max="10494" width="33" style="121" bestFit="1" customWidth="1"/>
    <col min="10495" max="10495" width="26.5" style="121" bestFit="1" customWidth="1"/>
    <col min="10496" max="10496" width="22.6640625" style="121" bestFit="1" customWidth="1"/>
    <col min="10497" max="10497" width="33" style="121" bestFit="1" customWidth="1"/>
    <col min="10498" max="10498" width="26.5" style="121" customWidth="1"/>
    <col min="10499" max="10499" width="22.6640625" style="121" bestFit="1" customWidth="1"/>
    <col min="10500" max="10501" width="33" style="121" bestFit="1" customWidth="1"/>
    <col min="10502" max="10502" width="22.6640625" style="121" bestFit="1" customWidth="1"/>
    <col min="10503" max="10503" width="33" style="121" bestFit="1" customWidth="1"/>
    <col min="10504" max="10504" width="25.6640625" style="121" customWidth="1"/>
    <col min="10505" max="10506" width="16.6640625" style="121" customWidth="1"/>
    <col min="10507" max="10507" width="26.6640625" style="121" customWidth="1"/>
    <col min="10508" max="10747" width="9.1640625" style="121"/>
    <col min="10748" max="10748" width="71" style="121" customWidth="1"/>
    <col min="10749" max="10749" width="22.6640625" style="121" bestFit="1" customWidth="1"/>
    <col min="10750" max="10750" width="33" style="121" bestFit="1" customWidth="1"/>
    <col min="10751" max="10751" width="26.5" style="121" bestFit="1" customWidth="1"/>
    <col min="10752" max="10752" width="22.6640625" style="121" bestFit="1" customWidth="1"/>
    <col min="10753" max="10753" width="33" style="121" bestFit="1" customWidth="1"/>
    <col min="10754" max="10754" width="26.5" style="121" customWidth="1"/>
    <col min="10755" max="10755" width="22.6640625" style="121" bestFit="1" customWidth="1"/>
    <col min="10756" max="10757" width="33" style="121" bestFit="1" customWidth="1"/>
    <col min="10758" max="10758" width="22.6640625" style="121" bestFit="1" customWidth="1"/>
    <col min="10759" max="10759" width="33" style="121" bestFit="1" customWidth="1"/>
    <col min="10760" max="10760" width="25.6640625" style="121" customWidth="1"/>
    <col min="10761" max="10762" width="16.6640625" style="121" customWidth="1"/>
    <col min="10763" max="10763" width="26.6640625" style="121" customWidth="1"/>
    <col min="10764" max="11003" width="9.1640625" style="121"/>
    <col min="11004" max="11004" width="71" style="121" customWidth="1"/>
    <col min="11005" max="11005" width="22.6640625" style="121" bestFit="1" customWidth="1"/>
    <col min="11006" max="11006" width="33" style="121" bestFit="1" customWidth="1"/>
    <col min="11007" max="11007" width="26.5" style="121" bestFit="1" customWidth="1"/>
    <col min="11008" max="11008" width="22.6640625" style="121" bestFit="1" customWidth="1"/>
    <col min="11009" max="11009" width="33" style="121" bestFit="1" customWidth="1"/>
    <col min="11010" max="11010" width="26.5" style="121" customWidth="1"/>
    <col min="11011" max="11011" width="22.6640625" style="121" bestFit="1" customWidth="1"/>
    <col min="11012" max="11013" width="33" style="121" bestFit="1" customWidth="1"/>
    <col min="11014" max="11014" width="22.6640625" style="121" bestFit="1" customWidth="1"/>
    <col min="11015" max="11015" width="33" style="121" bestFit="1" customWidth="1"/>
    <col min="11016" max="11016" width="25.6640625" style="121" customWidth="1"/>
    <col min="11017" max="11018" width="16.6640625" style="121" customWidth="1"/>
    <col min="11019" max="11019" width="26.6640625" style="121" customWidth="1"/>
    <col min="11020" max="11259" width="9.1640625" style="121"/>
    <col min="11260" max="11260" width="71" style="121" customWidth="1"/>
    <col min="11261" max="11261" width="22.6640625" style="121" bestFit="1" customWidth="1"/>
    <col min="11262" max="11262" width="33" style="121" bestFit="1" customWidth="1"/>
    <col min="11263" max="11263" width="26.5" style="121" bestFit="1" customWidth="1"/>
    <col min="11264" max="11264" width="22.6640625" style="121" bestFit="1" customWidth="1"/>
    <col min="11265" max="11265" width="33" style="121" bestFit="1" customWidth="1"/>
    <col min="11266" max="11266" width="26.5" style="121" customWidth="1"/>
    <col min="11267" max="11267" width="22.6640625" style="121" bestFit="1" customWidth="1"/>
    <col min="11268" max="11269" width="33" style="121" bestFit="1" customWidth="1"/>
    <col min="11270" max="11270" width="22.6640625" style="121" bestFit="1" customWidth="1"/>
    <col min="11271" max="11271" width="33" style="121" bestFit="1" customWidth="1"/>
    <col min="11272" max="11272" width="25.6640625" style="121" customWidth="1"/>
    <col min="11273" max="11274" width="16.6640625" style="121" customWidth="1"/>
    <col min="11275" max="11275" width="26.6640625" style="121" customWidth="1"/>
    <col min="11276" max="11515" width="9.1640625" style="121"/>
    <col min="11516" max="11516" width="71" style="121" customWidth="1"/>
    <col min="11517" max="11517" width="22.6640625" style="121" bestFit="1" customWidth="1"/>
    <col min="11518" max="11518" width="33" style="121" bestFit="1" customWidth="1"/>
    <col min="11519" max="11519" width="26.5" style="121" bestFit="1" customWidth="1"/>
    <col min="11520" max="11520" width="22.6640625" style="121" bestFit="1" customWidth="1"/>
    <col min="11521" max="11521" width="33" style="121" bestFit="1" customWidth="1"/>
    <col min="11522" max="11522" width="26.5" style="121" customWidth="1"/>
    <col min="11523" max="11523" width="22.6640625" style="121" bestFit="1" customWidth="1"/>
    <col min="11524" max="11525" width="33" style="121" bestFit="1" customWidth="1"/>
    <col min="11526" max="11526" width="22.6640625" style="121" bestFit="1" customWidth="1"/>
    <col min="11527" max="11527" width="33" style="121" bestFit="1" customWidth="1"/>
    <col min="11528" max="11528" width="25.6640625" style="121" customWidth="1"/>
    <col min="11529" max="11530" width="16.6640625" style="121" customWidth="1"/>
    <col min="11531" max="11531" width="26.6640625" style="121" customWidth="1"/>
    <col min="11532" max="11771" width="9.1640625" style="121"/>
    <col min="11772" max="11772" width="71" style="121" customWidth="1"/>
    <col min="11773" max="11773" width="22.6640625" style="121" bestFit="1" customWidth="1"/>
    <col min="11774" max="11774" width="33" style="121" bestFit="1" customWidth="1"/>
    <col min="11775" max="11775" width="26.5" style="121" bestFit="1" customWidth="1"/>
    <col min="11776" max="11776" width="22.6640625" style="121" bestFit="1" customWidth="1"/>
    <col min="11777" max="11777" width="33" style="121" bestFit="1" customWidth="1"/>
    <col min="11778" max="11778" width="26.5" style="121" customWidth="1"/>
    <col min="11779" max="11779" width="22.6640625" style="121" bestFit="1" customWidth="1"/>
    <col min="11780" max="11781" width="33" style="121" bestFit="1" customWidth="1"/>
    <col min="11782" max="11782" width="22.6640625" style="121" bestFit="1" customWidth="1"/>
    <col min="11783" max="11783" width="33" style="121" bestFit="1" customWidth="1"/>
    <col min="11784" max="11784" width="25.6640625" style="121" customWidth="1"/>
    <col min="11785" max="11786" width="16.6640625" style="121" customWidth="1"/>
    <col min="11787" max="11787" width="26.6640625" style="121" customWidth="1"/>
    <col min="11788" max="12027" width="9.1640625" style="121"/>
    <col min="12028" max="12028" width="71" style="121" customWidth="1"/>
    <col min="12029" max="12029" width="22.6640625" style="121" bestFit="1" customWidth="1"/>
    <col min="12030" max="12030" width="33" style="121" bestFit="1" customWidth="1"/>
    <col min="12031" max="12031" width="26.5" style="121" bestFit="1" customWidth="1"/>
    <col min="12032" max="12032" width="22.6640625" style="121" bestFit="1" customWidth="1"/>
    <col min="12033" max="12033" width="33" style="121" bestFit="1" customWidth="1"/>
    <col min="12034" max="12034" width="26.5" style="121" customWidth="1"/>
    <col min="12035" max="12035" width="22.6640625" style="121" bestFit="1" customWidth="1"/>
    <col min="12036" max="12037" width="33" style="121" bestFit="1" customWidth="1"/>
    <col min="12038" max="12038" width="22.6640625" style="121" bestFit="1" customWidth="1"/>
    <col min="12039" max="12039" width="33" style="121" bestFit="1" customWidth="1"/>
    <col min="12040" max="12040" width="25.6640625" style="121" customWidth="1"/>
    <col min="12041" max="12042" width="16.6640625" style="121" customWidth="1"/>
    <col min="12043" max="12043" width="26.6640625" style="121" customWidth="1"/>
    <col min="12044" max="12283" width="9.1640625" style="121"/>
    <col min="12284" max="12284" width="71" style="121" customWidth="1"/>
    <col min="12285" max="12285" width="22.6640625" style="121" bestFit="1" customWidth="1"/>
    <col min="12286" max="12286" width="33" style="121" bestFit="1" customWidth="1"/>
    <col min="12287" max="12287" width="26.5" style="121" bestFit="1" customWidth="1"/>
    <col min="12288" max="12288" width="22.6640625" style="121" bestFit="1" customWidth="1"/>
    <col min="12289" max="12289" width="33" style="121" bestFit="1" customWidth="1"/>
    <col min="12290" max="12290" width="26.5" style="121" customWidth="1"/>
    <col min="12291" max="12291" width="22.6640625" style="121" bestFit="1" customWidth="1"/>
    <col min="12292" max="12293" width="33" style="121" bestFit="1" customWidth="1"/>
    <col min="12294" max="12294" width="22.6640625" style="121" bestFit="1" customWidth="1"/>
    <col min="12295" max="12295" width="33" style="121" bestFit="1" customWidth="1"/>
    <col min="12296" max="12296" width="25.6640625" style="121" customWidth="1"/>
    <col min="12297" max="12298" width="16.6640625" style="121" customWidth="1"/>
    <col min="12299" max="12299" width="26.6640625" style="121" customWidth="1"/>
    <col min="12300" max="12539" width="9.1640625" style="121"/>
    <col min="12540" max="12540" width="71" style="121" customWidth="1"/>
    <col min="12541" max="12541" width="22.6640625" style="121" bestFit="1" customWidth="1"/>
    <col min="12542" max="12542" width="33" style="121" bestFit="1" customWidth="1"/>
    <col min="12543" max="12543" width="26.5" style="121" bestFit="1" customWidth="1"/>
    <col min="12544" max="12544" width="22.6640625" style="121" bestFit="1" customWidth="1"/>
    <col min="12545" max="12545" width="33" style="121" bestFit="1" customWidth="1"/>
    <col min="12546" max="12546" width="26.5" style="121" customWidth="1"/>
    <col min="12547" max="12547" width="22.6640625" style="121" bestFit="1" customWidth="1"/>
    <col min="12548" max="12549" width="33" style="121" bestFit="1" customWidth="1"/>
    <col min="12550" max="12550" width="22.6640625" style="121" bestFit="1" customWidth="1"/>
    <col min="12551" max="12551" width="33" style="121" bestFit="1" customWidth="1"/>
    <col min="12552" max="12552" width="25.6640625" style="121" customWidth="1"/>
    <col min="12553" max="12554" width="16.6640625" style="121" customWidth="1"/>
    <col min="12555" max="12555" width="26.6640625" style="121" customWidth="1"/>
    <col min="12556" max="12795" width="9.1640625" style="121"/>
    <col min="12796" max="12796" width="71" style="121" customWidth="1"/>
    <col min="12797" max="12797" width="22.6640625" style="121" bestFit="1" customWidth="1"/>
    <col min="12798" max="12798" width="33" style="121" bestFit="1" customWidth="1"/>
    <col min="12799" max="12799" width="26.5" style="121" bestFit="1" customWidth="1"/>
    <col min="12800" max="12800" width="22.6640625" style="121" bestFit="1" customWidth="1"/>
    <col min="12801" max="12801" width="33" style="121" bestFit="1" customWidth="1"/>
    <col min="12802" max="12802" width="26.5" style="121" customWidth="1"/>
    <col min="12803" max="12803" width="22.6640625" style="121" bestFit="1" customWidth="1"/>
    <col min="12804" max="12805" width="33" style="121" bestFit="1" customWidth="1"/>
    <col min="12806" max="12806" width="22.6640625" style="121" bestFit="1" customWidth="1"/>
    <col min="12807" max="12807" width="33" style="121" bestFit="1" customWidth="1"/>
    <col min="12808" max="12808" width="25.6640625" style="121" customWidth="1"/>
    <col min="12809" max="12810" width="16.6640625" style="121" customWidth="1"/>
    <col min="12811" max="12811" width="26.6640625" style="121" customWidth="1"/>
    <col min="12812" max="13051" width="9.1640625" style="121"/>
    <col min="13052" max="13052" width="71" style="121" customWidth="1"/>
    <col min="13053" max="13053" width="22.6640625" style="121" bestFit="1" customWidth="1"/>
    <col min="13054" max="13054" width="33" style="121" bestFit="1" customWidth="1"/>
    <col min="13055" max="13055" width="26.5" style="121" bestFit="1" customWidth="1"/>
    <col min="13056" max="13056" width="22.6640625" style="121" bestFit="1" customWidth="1"/>
    <col min="13057" max="13057" width="33" style="121" bestFit="1" customWidth="1"/>
    <col min="13058" max="13058" width="26.5" style="121" customWidth="1"/>
    <col min="13059" max="13059" width="22.6640625" style="121" bestFit="1" customWidth="1"/>
    <col min="13060" max="13061" width="33" style="121" bestFit="1" customWidth="1"/>
    <col min="13062" max="13062" width="22.6640625" style="121" bestFit="1" customWidth="1"/>
    <col min="13063" max="13063" width="33" style="121" bestFit="1" customWidth="1"/>
    <col min="13064" max="13064" width="25.6640625" style="121" customWidth="1"/>
    <col min="13065" max="13066" width="16.6640625" style="121" customWidth="1"/>
    <col min="13067" max="13067" width="26.6640625" style="121" customWidth="1"/>
    <col min="13068" max="13307" width="9.1640625" style="121"/>
    <col min="13308" max="13308" width="71" style="121" customWidth="1"/>
    <col min="13309" max="13309" width="22.6640625" style="121" bestFit="1" customWidth="1"/>
    <col min="13310" max="13310" width="33" style="121" bestFit="1" customWidth="1"/>
    <col min="13311" max="13311" width="26.5" style="121" bestFit="1" customWidth="1"/>
    <col min="13312" max="13312" width="22.6640625" style="121" bestFit="1" customWidth="1"/>
    <col min="13313" max="13313" width="33" style="121" bestFit="1" customWidth="1"/>
    <col min="13314" max="13314" width="26.5" style="121" customWidth="1"/>
    <col min="13315" max="13315" width="22.6640625" style="121" bestFit="1" customWidth="1"/>
    <col min="13316" max="13317" width="33" style="121" bestFit="1" customWidth="1"/>
    <col min="13318" max="13318" width="22.6640625" style="121" bestFit="1" customWidth="1"/>
    <col min="13319" max="13319" width="33" style="121" bestFit="1" customWidth="1"/>
    <col min="13320" max="13320" width="25.6640625" style="121" customWidth="1"/>
    <col min="13321" max="13322" width="16.6640625" style="121" customWidth="1"/>
    <col min="13323" max="13323" width="26.6640625" style="121" customWidth="1"/>
    <col min="13324" max="13563" width="9.1640625" style="121"/>
    <col min="13564" max="13564" width="71" style="121" customWidth="1"/>
    <col min="13565" max="13565" width="22.6640625" style="121" bestFit="1" customWidth="1"/>
    <col min="13566" max="13566" width="33" style="121" bestFit="1" customWidth="1"/>
    <col min="13567" max="13567" width="26.5" style="121" bestFit="1" customWidth="1"/>
    <col min="13568" max="13568" width="22.6640625" style="121" bestFit="1" customWidth="1"/>
    <col min="13569" max="13569" width="33" style="121" bestFit="1" customWidth="1"/>
    <col min="13570" max="13570" width="26.5" style="121" customWidth="1"/>
    <col min="13571" max="13571" width="22.6640625" style="121" bestFit="1" customWidth="1"/>
    <col min="13572" max="13573" width="33" style="121" bestFit="1" customWidth="1"/>
    <col min="13574" max="13574" width="22.6640625" style="121" bestFit="1" customWidth="1"/>
    <col min="13575" max="13575" width="33" style="121" bestFit="1" customWidth="1"/>
    <col min="13576" max="13576" width="25.6640625" style="121" customWidth="1"/>
    <col min="13577" max="13578" width="16.6640625" style="121" customWidth="1"/>
    <col min="13579" max="13579" width="26.6640625" style="121" customWidth="1"/>
    <col min="13580" max="13819" width="9.1640625" style="121"/>
    <col min="13820" max="13820" width="71" style="121" customWidth="1"/>
    <col min="13821" max="13821" width="22.6640625" style="121" bestFit="1" customWidth="1"/>
    <col min="13822" max="13822" width="33" style="121" bestFit="1" customWidth="1"/>
    <col min="13823" max="13823" width="26.5" style="121" bestFit="1" customWidth="1"/>
    <col min="13824" max="13824" width="22.6640625" style="121" bestFit="1" customWidth="1"/>
    <col min="13825" max="13825" width="33" style="121" bestFit="1" customWidth="1"/>
    <col min="13826" max="13826" width="26.5" style="121" customWidth="1"/>
    <col min="13827" max="13827" width="22.6640625" style="121" bestFit="1" customWidth="1"/>
    <col min="13828" max="13829" width="33" style="121" bestFit="1" customWidth="1"/>
    <col min="13830" max="13830" width="22.6640625" style="121" bestFit="1" customWidth="1"/>
    <col min="13831" max="13831" width="33" style="121" bestFit="1" customWidth="1"/>
    <col min="13832" max="13832" width="25.6640625" style="121" customWidth="1"/>
    <col min="13833" max="13834" width="16.6640625" style="121" customWidth="1"/>
    <col min="13835" max="13835" width="26.6640625" style="121" customWidth="1"/>
    <col min="13836" max="14075" width="9.1640625" style="121"/>
    <col min="14076" max="14076" width="71" style="121" customWidth="1"/>
    <col min="14077" max="14077" width="22.6640625" style="121" bestFit="1" customWidth="1"/>
    <col min="14078" max="14078" width="33" style="121" bestFit="1" customWidth="1"/>
    <col min="14079" max="14079" width="26.5" style="121" bestFit="1" customWidth="1"/>
    <col min="14080" max="14080" width="22.6640625" style="121" bestFit="1" customWidth="1"/>
    <col min="14081" max="14081" width="33" style="121" bestFit="1" customWidth="1"/>
    <col min="14082" max="14082" width="26.5" style="121" customWidth="1"/>
    <col min="14083" max="14083" width="22.6640625" style="121" bestFit="1" customWidth="1"/>
    <col min="14084" max="14085" width="33" style="121" bestFit="1" customWidth="1"/>
    <col min="14086" max="14086" width="22.6640625" style="121" bestFit="1" customWidth="1"/>
    <col min="14087" max="14087" width="33" style="121" bestFit="1" customWidth="1"/>
    <col min="14088" max="14088" width="25.6640625" style="121" customWidth="1"/>
    <col min="14089" max="14090" width="16.6640625" style="121" customWidth="1"/>
    <col min="14091" max="14091" width="26.6640625" style="121" customWidth="1"/>
    <col min="14092" max="14331" width="9.1640625" style="121"/>
    <col min="14332" max="14332" width="71" style="121" customWidth="1"/>
    <col min="14333" max="14333" width="22.6640625" style="121" bestFit="1" customWidth="1"/>
    <col min="14334" max="14334" width="33" style="121" bestFit="1" customWidth="1"/>
    <col min="14335" max="14335" width="26.5" style="121" bestFit="1" customWidth="1"/>
    <col min="14336" max="14336" width="22.6640625" style="121" bestFit="1" customWidth="1"/>
    <col min="14337" max="14337" width="33" style="121" bestFit="1" customWidth="1"/>
    <col min="14338" max="14338" width="26.5" style="121" customWidth="1"/>
    <col min="14339" max="14339" width="22.6640625" style="121" bestFit="1" customWidth="1"/>
    <col min="14340" max="14341" width="33" style="121" bestFit="1" customWidth="1"/>
    <col min="14342" max="14342" width="22.6640625" style="121" bestFit="1" customWidth="1"/>
    <col min="14343" max="14343" width="33" style="121" bestFit="1" customWidth="1"/>
    <col min="14344" max="14344" width="25.6640625" style="121" customWidth="1"/>
    <col min="14345" max="14346" width="16.6640625" style="121" customWidth="1"/>
    <col min="14347" max="14347" width="26.6640625" style="121" customWidth="1"/>
    <col min="14348" max="14587" width="9.1640625" style="121"/>
    <col min="14588" max="14588" width="71" style="121" customWidth="1"/>
    <col min="14589" max="14589" width="22.6640625" style="121" bestFit="1" customWidth="1"/>
    <col min="14590" max="14590" width="33" style="121" bestFit="1" customWidth="1"/>
    <col min="14591" max="14591" width="26.5" style="121" bestFit="1" customWidth="1"/>
    <col min="14592" max="14592" width="22.6640625" style="121" bestFit="1" customWidth="1"/>
    <col min="14593" max="14593" width="33" style="121" bestFit="1" customWidth="1"/>
    <col min="14594" max="14594" width="26.5" style="121" customWidth="1"/>
    <col min="14595" max="14595" width="22.6640625" style="121" bestFit="1" customWidth="1"/>
    <col min="14596" max="14597" width="33" style="121" bestFit="1" customWidth="1"/>
    <col min="14598" max="14598" width="22.6640625" style="121" bestFit="1" customWidth="1"/>
    <col min="14599" max="14599" width="33" style="121" bestFit="1" customWidth="1"/>
    <col min="14600" max="14600" width="25.6640625" style="121" customWidth="1"/>
    <col min="14601" max="14602" width="16.6640625" style="121" customWidth="1"/>
    <col min="14603" max="14603" width="26.6640625" style="121" customWidth="1"/>
    <col min="14604" max="14843" width="9.1640625" style="121"/>
    <col min="14844" max="14844" width="71" style="121" customWidth="1"/>
    <col min="14845" max="14845" width="22.6640625" style="121" bestFit="1" customWidth="1"/>
    <col min="14846" max="14846" width="33" style="121" bestFit="1" customWidth="1"/>
    <col min="14847" max="14847" width="26.5" style="121" bestFit="1" customWidth="1"/>
    <col min="14848" max="14848" width="22.6640625" style="121" bestFit="1" customWidth="1"/>
    <col min="14849" max="14849" width="33" style="121" bestFit="1" customWidth="1"/>
    <col min="14850" max="14850" width="26.5" style="121" customWidth="1"/>
    <col min="14851" max="14851" width="22.6640625" style="121" bestFit="1" customWidth="1"/>
    <col min="14852" max="14853" width="33" style="121" bestFit="1" customWidth="1"/>
    <col min="14854" max="14854" width="22.6640625" style="121" bestFit="1" customWidth="1"/>
    <col min="14855" max="14855" width="33" style="121" bestFit="1" customWidth="1"/>
    <col min="14856" max="14856" width="25.6640625" style="121" customWidth="1"/>
    <col min="14857" max="14858" width="16.6640625" style="121" customWidth="1"/>
    <col min="14859" max="14859" width="26.6640625" style="121" customWidth="1"/>
    <col min="14860" max="15099" width="9.1640625" style="121"/>
    <col min="15100" max="15100" width="71" style="121" customWidth="1"/>
    <col min="15101" max="15101" width="22.6640625" style="121" bestFit="1" customWidth="1"/>
    <col min="15102" max="15102" width="33" style="121" bestFit="1" customWidth="1"/>
    <col min="15103" max="15103" width="26.5" style="121" bestFit="1" customWidth="1"/>
    <col min="15104" max="15104" width="22.6640625" style="121" bestFit="1" customWidth="1"/>
    <col min="15105" max="15105" width="33" style="121" bestFit="1" customWidth="1"/>
    <col min="15106" max="15106" width="26.5" style="121" customWidth="1"/>
    <col min="15107" max="15107" width="22.6640625" style="121" bestFit="1" customWidth="1"/>
    <col min="15108" max="15109" width="33" style="121" bestFit="1" customWidth="1"/>
    <col min="15110" max="15110" width="22.6640625" style="121" bestFit="1" customWidth="1"/>
    <col min="15111" max="15111" width="33" style="121" bestFit="1" customWidth="1"/>
    <col min="15112" max="15112" width="25.6640625" style="121" customWidth="1"/>
    <col min="15113" max="15114" width="16.6640625" style="121" customWidth="1"/>
    <col min="15115" max="15115" width="26.6640625" style="121" customWidth="1"/>
    <col min="15116" max="15355" width="9.1640625" style="121"/>
    <col min="15356" max="15356" width="71" style="121" customWidth="1"/>
    <col min="15357" max="15357" width="22.6640625" style="121" bestFit="1" customWidth="1"/>
    <col min="15358" max="15358" width="33" style="121" bestFit="1" customWidth="1"/>
    <col min="15359" max="15359" width="26.5" style="121" bestFit="1" customWidth="1"/>
    <col min="15360" max="15360" width="22.6640625" style="121" bestFit="1" customWidth="1"/>
    <col min="15361" max="15361" width="33" style="121" bestFit="1" customWidth="1"/>
    <col min="15362" max="15362" width="26.5" style="121" customWidth="1"/>
    <col min="15363" max="15363" width="22.6640625" style="121" bestFit="1" customWidth="1"/>
    <col min="15364" max="15365" width="33" style="121" bestFit="1" customWidth="1"/>
    <col min="15366" max="15366" width="22.6640625" style="121" bestFit="1" customWidth="1"/>
    <col min="15367" max="15367" width="33" style="121" bestFit="1" customWidth="1"/>
    <col min="15368" max="15368" width="25.6640625" style="121" customWidth="1"/>
    <col min="15369" max="15370" width="16.6640625" style="121" customWidth="1"/>
    <col min="15371" max="15371" width="26.6640625" style="121" customWidth="1"/>
    <col min="15372" max="15611" width="9.1640625" style="121"/>
    <col min="15612" max="15612" width="71" style="121" customWidth="1"/>
    <col min="15613" max="15613" width="22.6640625" style="121" bestFit="1" customWidth="1"/>
    <col min="15614" max="15614" width="33" style="121" bestFit="1" customWidth="1"/>
    <col min="15615" max="15615" width="26.5" style="121" bestFit="1" customWidth="1"/>
    <col min="15616" max="15616" width="22.6640625" style="121" bestFit="1" customWidth="1"/>
    <col min="15617" max="15617" width="33" style="121" bestFit="1" customWidth="1"/>
    <col min="15618" max="15618" width="26.5" style="121" customWidth="1"/>
    <col min="15619" max="15619" width="22.6640625" style="121" bestFit="1" customWidth="1"/>
    <col min="15620" max="15621" width="33" style="121" bestFit="1" customWidth="1"/>
    <col min="15622" max="15622" width="22.6640625" style="121" bestFit="1" customWidth="1"/>
    <col min="15623" max="15623" width="33" style="121" bestFit="1" customWidth="1"/>
    <col min="15624" max="15624" width="25.6640625" style="121" customWidth="1"/>
    <col min="15625" max="15626" width="16.6640625" style="121" customWidth="1"/>
    <col min="15627" max="15627" width="26.6640625" style="121" customWidth="1"/>
    <col min="15628" max="15867" width="9.1640625" style="121"/>
    <col min="15868" max="15868" width="71" style="121" customWidth="1"/>
    <col min="15869" max="15869" width="22.6640625" style="121" bestFit="1" customWidth="1"/>
    <col min="15870" max="15870" width="33" style="121" bestFit="1" customWidth="1"/>
    <col min="15871" max="15871" width="26.5" style="121" bestFit="1" customWidth="1"/>
    <col min="15872" max="15872" width="22.6640625" style="121" bestFit="1" customWidth="1"/>
    <col min="15873" max="15873" width="33" style="121" bestFit="1" customWidth="1"/>
    <col min="15874" max="15874" width="26.5" style="121" customWidth="1"/>
    <col min="15875" max="15875" width="22.6640625" style="121" bestFit="1" customWidth="1"/>
    <col min="15876" max="15877" width="33" style="121" bestFit="1" customWidth="1"/>
    <col min="15878" max="15878" width="22.6640625" style="121" bestFit="1" customWidth="1"/>
    <col min="15879" max="15879" width="33" style="121" bestFit="1" customWidth="1"/>
    <col min="15880" max="15880" width="25.6640625" style="121" customWidth="1"/>
    <col min="15881" max="15882" width="16.6640625" style="121" customWidth="1"/>
    <col min="15883" max="15883" width="26.6640625" style="121" customWidth="1"/>
    <col min="15884" max="16123" width="9.1640625" style="121"/>
    <col min="16124" max="16124" width="71" style="121" customWidth="1"/>
    <col min="16125" max="16125" width="22.6640625" style="121" bestFit="1" customWidth="1"/>
    <col min="16126" max="16126" width="33" style="121" bestFit="1" customWidth="1"/>
    <col min="16127" max="16127" width="26.5" style="121" bestFit="1" customWidth="1"/>
    <col min="16128" max="16128" width="22.6640625" style="121" bestFit="1" customWidth="1"/>
    <col min="16129" max="16129" width="33" style="121" bestFit="1" customWidth="1"/>
    <col min="16130" max="16130" width="26.5" style="121" customWidth="1"/>
    <col min="16131" max="16131" width="22.6640625" style="121" bestFit="1" customWidth="1"/>
    <col min="16132" max="16133" width="33" style="121" bestFit="1" customWidth="1"/>
    <col min="16134" max="16134" width="22.6640625" style="121" bestFit="1" customWidth="1"/>
    <col min="16135" max="16135" width="33" style="121" bestFit="1" customWidth="1"/>
    <col min="16136" max="16136" width="25.6640625" style="121" customWidth="1"/>
    <col min="16137" max="16138" width="16.6640625" style="121" customWidth="1"/>
    <col min="16139" max="16139" width="26.6640625" style="121" customWidth="1"/>
    <col min="16140" max="16384" width="9.1640625" style="121"/>
  </cols>
  <sheetData>
    <row r="2" spans="2:10">
      <c r="B2" s="1057" t="str">
        <f>Index!B2</f>
        <v>Jaigad Power Transco Ltd</v>
      </c>
      <c r="C2" s="1057"/>
      <c r="D2" s="1057"/>
      <c r="E2" s="1057"/>
      <c r="F2" s="1057"/>
      <c r="G2" s="1057"/>
      <c r="H2" s="1057"/>
      <c r="I2" s="135"/>
    </row>
    <row r="3" spans="2:10">
      <c r="B3" s="1184" t="s">
        <v>435</v>
      </c>
      <c r="C3" s="1184"/>
      <c r="D3" s="1184"/>
      <c r="E3" s="1184"/>
      <c r="F3" s="1184"/>
      <c r="G3" s="1184"/>
      <c r="H3" s="1184"/>
      <c r="I3" s="136"/>
    </row>
    <row r="4" spans="2:10">
      <c r="B4" s="1200" t="s">
        <v>695</v>
      </c>
      <c r="C4" s="1200"/>
      <c r="D4" s="1200"/>
      <c r="E4" s="1200"/>
      <c r="F4" s="1200"/>
      <c r="G4" s="1200"/>
      <c r="H4" s="1200"/>
      <c r="I4" s="135"/>
    </row>
    <row r="6" spans="2:10">
      <c r="B6" s="138" t="s">
        <v>445</v>
      </c>
      <c r="C6" s="138"/>
      <c r="D6" s="138"/>
      <c r="E6" s="138"/>
      <c r="F6" s="138"/>
      <c r="G6" s="138"/>
      <c r="H6" s="138"/>
    </row>
    <row r="7" spans="2:10">
      <c r="B7" s="138" t="s">
        <v>446</v>
      </c>
      <c r="C7" s="138"/>
      <c r="D7" s="138"/>
      <c r="E7" s="138"/>
      <c r="F7" s="138"/>
      <c r="G7" s="138"/>
      <c r="H7" s="138"/>
    </row>
    <row r="8" spans="2:10">
      <c r="B8" s="134"/>
      <c r="C8" s="134"/>
      <c r="D8" s="134"/>
      <c r="E8" s="134"/>
      <c r="F8" s="134"/>
      <c r="G8" s="134"/>
    </row>
    <row r="9" spans="2:10" ht="18" customHeight="1">
      <c r="B9" s="139"/>
      <c r="C9" s="1201" t="s">
        <v>410</v>
      </c>
      <c r="D9" s="1202"/>
      <c r="E9" s="1203"/>
      <c r="F9" s="1201" t="s">
        <v>447</v>
      </c>
      <c r="G9" s="1202"/>
      <c r="H9" s="1203"/>
    </row>
    <row r="10" spans="2:10" ht="64">
      <c r="B10" s="140"/>
      <c r="C10" s="141" t="s">
        <v>411</v>
      </c>
      <c r="D10" s="141" t="s">
        <v>412</v>
      </c>
      <c r="E10" s="141" t="s">
        <v>413</v>
      </c>
      <c r="F10" s="141" t="s">
        <v>414</v>
      </c>
      <c r="G10" s="141" t="s">
        <v>412</v>
      </c>
      <c r="H10" s="141" t="s">
        <v>413</v>
      </c>
    </row>
    <row r="11" spans="2:10" ht="16">
      <c r="B11" s="142" t="s">
        <v>415</v>
      </c>
      <c r="C11" s="143"/>
      <c r="D11" s="143"/>
      <c r="E11" s="143"/>
      <c r="F11" s="143"/>
      <c r="G11" s="143"/>
      <c r="H11" s="143"/>
      <c r="I11" s="144"/>
    </row>
    <row r="12" spans="2:10">
      <c r="B12" s="127" t="s">
        <v>375</v>
      </c>
      <c r="C12" s="126"/>
      <c r="D12" s="129"/>
      <c r="E12" s="145"/>
      <c r="F12" s="126"/>
      <c r="G12" s="129"/>
      <c r="H12" s="129"/>
      <c r="I12" s="146"/>
    </row>
    <row r="13" spans="2:10">
      <c r="B13" s="127" t="s">
        <v>375</v>
      </c>
      <c r="C13" s="126"/>
      <c r="D13" s="128"/>
      <c r="E13" s="145"/>
      <c r="F13" s="126"/>
      <c r="G13" s="128"/>
      <c r="H13" s="129"/>
      <c r="I13" s="147"/>
    </row>
    <row r="14" spans="2:10">
      <c r="B14" s="148" t="s">
        <v>416</v>
      </c>
      <c r="C14" s="149"/>
      <c r="D14" s="150"/>
      <c r="E14" s="151"/>
      <c r="F14" s="149"/>
      <c r="G14" s="150"/>
      <c r="H14" s="150"/>
      <c r="I14" s="152"/>
    </row>
    <row r="15" spans="2:10">
      <c r="B15" s="127" t="s">
        <v>417</v>
      </c>
      <c r="C15" s="128"/>
      <c r="D15" s="128"/>
      <c r="E15" s="129"/>
      <c r="F15" s="128"/>
      <c r="G15" s="128"/>
      <c r="H15" s="128"/>
      <c r="I15" s="153"/>
    </row>
    <row r="16" spans="2:10">
      <c r="B16" s="154" t="s">
        <v>418</v>
      </c>
      <c r="C16" s="126"/>
      <c r="D16" s="128"/>
      <c r="E16" s="145"/>
      <c r="F16" s="126"/>
      <c r="G16" s="128"/>
      <c r="H16" s="128"/>
      <c r="I16" s="155"/>
      <c r="J16" s="156"/>
    </row>
    <row r="17" spans="2:11">
      <c r="B17" s="157" t="s">
        <v>419</v>
      </c>
      <c r="C17" s="126"/>
      <c r="D17" s="129"/>
      <c r="E17" s="145"/>
      <c r="F17" s="126"/>
      <c r="G17" s="129"/>
      <c r="H17" s="129"/>
      <c r="I17" s="158"/>
      <c r="J17" s="156"/>
    </row>
    <row r="18" spans="2:11">
      <c r="B18" s="154" t="s">
        <v>420</v>
      </c>
      <c r="C18" s="126"/>
      <c r="D18" s="129"/>
      <c r="E18" s="145"/>
      <c r="F18" s="126"/>
      <c r="G18" s="129"/>
      <c r="H18" s="129"/>
      <c r="I18" s="159"/>
      <c r="J18" s="156"/>
      <c r="K18" s="160"/>
    </row>
    <row r="19" spans="2:11">
      <c r="B19" s="148" t="s">
        <v>421</v>
      </c>
      <c r="C19" s="149"/>
      <c r="D19" s="150"/>
      <c r="E19" s="151"/>
      <c r="F19" s="149"/>
      <c r="G19" s="150"/>
      <c r="H19" s="150"/>
      <c r="I19" s="161"/>
      <c r="J19" s="156"/>
      <c r="K19" s="160"/>
    </row>
    <row r="20" spans="2:11" s="165" customFormat="1">
      <c r="B20" s="148" t="s">
        <v>422</v>
      </c>
      <c r="C20" s="162"/>
      <c r="D20" s="163"/>
      <c r="E20" s="163"/>
      <c r="F20" s="124"/>
      <c r="G20" s="149"/>
      <c r="H20" s="150"/>
      <c r="I20" s="164"/>
      <c r="J20" s="164"/>
    </row>
    <row r="21" spans="2:11" ht="60.75" customHeight="1">
      <c r="B21" s="166" t="s">
        <v>423</v>
      </c>
      <c r="C21" s="1204"/>
      <c r="D21" s="1205"/>
      <c r="E21" s="1206"/>
      <c r="F21" s="1204"/>
      <c r="G21" s="1205"/>
      <c r="H21" s="1206"/>
      <c r="I21" s="155"/>
      <c r="J21" s="156"/>
    </row>
    <row r="22" spans="2:11">
      <c r="B22" s="167"/>
      <c r="C22" s="168"/>
      <c r="D22" s="169"/>
      <c r="E22" s="170"/>
      <c r="F22" s="171"/>
      <c r="G22" s="172"/>
      <c r="H22" s="173"/>
      <c r="I22" s="156"/>
      <c r="J22" s="156"/>
    </row>
    <row r="23" spans="2:11">
      <c r="B23" s="134" t="s">
        <v>424</v>
      </c>
      <c r="C23" s="134"/>
      <c r="D23" s="134"/>
      <c r="E23" s="134"/>
      <c r="F23" s="134"/>
      <c r="G23" s="160"/>
      <c r="H23" s="174"/>
      <c r="I23" s="94"/>
    </row>
    <row r="24" spans="2:11">
      <c r="B24" s="73" t="s">
        <v>712</v>
      </c>
      <c r="H24" s="175"/>
    </row>
    <row r="25" spans="2:11">
      <c r="C25" s="160"/>
      <c r="D25" s="160"/>
      <c r="E25" s="160"/>
      <c r="F25" s="160"/>
      <c r="G25" s="160"/>
      <c r="H25" s="160"/>
    </row>
    <row r="26" spans="2:11">
      <c r="H26" s="160"/>
      <c r="J26" s="160"/>
    </row>
    <row r="27" spans="2:11">
      <c r="C27" s="160"/>
      <c r="D27" s="160"/>
      <c r="F27" s="160"/>
      <c r="G27" s="160"/>
      <c r="H27" s="160"/>
    </row>
    <row r="29" spans="2:11">
      <c r="E29" s="160"/>
    </row>
  </sheetData>
  <mergeCells count="7">
    <mergeCell ref="C9:E9"/>
    <mergeCell ref="F9:H9"/>
    <mergeCell ref="C21:E21"/>
    <mergeCell ref="F21:H21"/>
    <mergeCell ref="B2:H2"/>
    <mergeCell ref="B3:H3"/>
    <mergeCell ref="B4:H4"/>
  </mergeCells>
  <printOptions horizontalCentered="1" verticalCentered="1"/>
  <pageMargins left="0.39370078740157483" right="0.55118110236220474" top="0.98425196850393704" bottom="0.98425196850393704" header="0.51181102362204722" footer="0.51181102362204722"/>
  <pageSetup paperSize="9" scale="9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C38"/>
  <sheetViews>
    <sheetView showGridLines="0" view="pageBreakPreview" zoomScale="67" zoomScaleNormal="75" zoomScaleSheetLayoutView="67" workbookViewId="0">
      <selection activeCell="B5" sqref="B5"/>
    </sheetView>
  </sheetViews>
  <sheetFormatPr baseColWidth="10" defaultColWidth="9.1640625" defaultRowHeight="15"/>
  <cols>
    <col min="1" max="1" width="9.1640625" style="121"/>
    <col min="2" max="2" width="51" style="121" customWidth="1"/>
    <col min="3" max="3" width="124" style="121" customWidth="1"/>
    <col min="4" max="257" width="9.1640625" style="121"/>
    <col min="258" max="258" width="50.33203125" style="121" customWidth="1"/>
    <col min="259" max="259" width="90.5" style="121" customWidth="1"/>
    <col min="260" max="513" width="9.1640625" style="121"/>
    <col min="514" max="514" width="50.33203125" style="121" customWidth="1"/>
    <col min="515" max="515" width="90.5" style="121" customWidth="1"/>
    <col min="516" max="769" width="9.1640625" style="121"/>
    <col min="770" max="770" width="50.33203125" style="121" customWidth="1"/>
    <col min="771" max="771" width="90.5" style="121" customWidth="1"/>
    <col min="772" max="1025" width="9.1640625" style="121"/>
    <col min="1026" max="1026" width="50.33203125" style="121" customWidth="1"/>
    <col min="1027" max="1027" width="90.5" style="121" customWidth="1"/>
    <col min="1028" max="1281" width="9.1640625" style="121"/>
    <col min="1282" max="1282" width="50.33203125" style="121" customWidth="1"/>
    <col min="1283" max="1283" width="90.5" style="121" customWidth="1"/>
    <col min="1284" max="1537" width="9.1640625" style="121"/>
    <col min="1538" max="1538" width="50.33203125" style="121" customWidth="1"/>
    <col min="1539" max="1539" width="90.5" style="121" customWidth="1"/>
    <col min="1540" max="1793" width="9.1640625" style="121"/>
    <col min="1794" max="1794" width="50.33203125" style="121" customWidth="1"/>
    <col min="1795" max="1795" width="90.5" style="121" customWidth="1"/>
    <col min="1796" max="2049" width="9.1640625" style="121"/>
    <col min="2050" max="2050" width="50.33203125" style="121" customWidth="1"/>
    <col min="2051" max="2051" width="90.5" style="121" customWidth="1"/>
    <col min="2052" max="2305" width="9.1640625" style="121"/>
    <col min="2306" max="2306" width="50.33203125" style="121" customWidth="1"/>
    <col min="2307" max="2307" width="90.5" style="121" customWidth="1"/>
    <col min="2308" max="2561" width="9.1640625" style="121"/>
    <col min="2562" max="2562" width="50.33203125" style="121" customWidth="1"/>
    <col min="2563" max="2563" width="90.5" style="121" customWidth="1"/>
    <col min="2564" max="2817" width="9.1640625" style="121"/>
    <col min="2818" max="2818" width="50.33203125" style="121" customWidth="1"/>
    <col min="2819" max="2819" width="90.5" style="121" customWidth="1"/>
    <col min="2820" max="3073" width="9.1640625" style="121"/>
    <col min="3074" max="3074" width="50.33203125" style="121" customWidth="1"/>
    <col min="3075" max="3075" width="90.5" style="121" customWidth="1"/>
    <col min="3076" max="3329" width="9.1640625" style="121"/>
    <col min="3330" max="3330" width="50.33203125" style="121" customWidth="1"/>
    <col min="3331" max="3331" width="90.5" style="121" customWidth="1"/>
    <col min="3332" max="3585" width="9.1640625" style="121"/>
    <col min="3586" max="3586" width="50.33203125" style="121" customWidth="1"/>
    <col min="3587" max="3587" width="90.5" style="121" customWidth="1"/>
    <col min="3588" max="3841" width="9.1640625" style="121"/>
    <col min="3842" max="3842" width="50.33203125" style="121" customWidth="1"/>
    <col min="3843" max="3843" width="90.5" style="121" customWidth="1"/>
    <col min="3844" max="4097" width="9.1640625" style="121"/>
    <col min="4098" max="4098" width="50.33203125" style="121" customWidth="1"/>
    <col min="4099" max="4099" width="90.5" style="121" customWidth="1"/>
    <col min="4100" max="4353" width="9.1640625" style="121"/>
    <col min="4354" max="4354" width="50.33203125" style="121" customWidth="1"/>
    <col min="4355" max="4355" width="90.5" style="121" customWidth="1"/>
    <col min="4356" max="4609" width="9.1640625" style="121"/>
    <col min="4610" max="4610" width="50.33203125" style="121" customWidth="1"/>
    <col min="4611" max="4611" width="90.5" style="121" customWidth="1"/>
    <col min="4612" max="4865" width="9.1640625" style="121"/>
    <col min="4866" max="4866" width="50.33203125" style="121" customWidth="1"/>
    <col min="4867" max="4867" width="90.5" style="121" customWidth="1"/>
    <col min="4868" max="5121" width="9.1640625" style="121"/>
    <col min="5122" max="5122" width="50.33203125" style="121" customWidth="1"/>
    <col min="5123" max="5123" width="90.5" style="121" customWidth="1"/>
    <col min="5124" max="5377" width="9.1640625" style="121"/>
    <col min="5378" max="5378" width="50.33203125" style="121" customWidth="1"/>
    <col min="5379" max="5379" width="90.5" style="121" customWidth="1"/>
    <col min="5380" max="5633" width="9.1640625" style="121"/>
    <col min="5634" max="5634" width="50.33203125" style="121" customWidth="1"/>
    <col min="5635" max="5635" width="90.5" style="121" customWidth="1"/>
    <col min="5636" max="5889" width="9.1640625" style="121"/>
    <col min="5890" max="5890" width="50.33203125" style="121" customWidth="1"/>
    <col min="5891" max="5891" width="90.5" style="121" customWidth="1"/>
    <col min="5892" max="6145" width="9.1640625" style="121"/>
    <col min="6146" max="6146" width="50.33203125" style="121" customWidth="1"/>
    <col min="6147" max="6147" width="90.5" style="121" customWidth="1"/>
    <col min="6148" max="6401" width="9.1640625" style="121"/>
    <col min="6402" max="6402" width="50.33203125" style="121" customWidth="1"/>
    <col min="6403" max="6403" width="90.5" style="121" customWidth="1"/>
    <col min="6404" max="6657" width="9.1640625" style="121"/>
    <col min="6658" max="6658" width="50.33203125" style="121" customWidth="1"/>
    <col min="6659" max="6659" width="90.5" style="121" customWidth="1"/>
    <col min="6660" max="6913" width="9.1640625" style="121"/>
    <col min="6914" max="6914" width="50.33203125" style="121" customWidth="1"/>
    <col min="6915" max="6915" width="90.5" style="121" customWidth="1"/>
    <col min="6916" max="7169" width="9.1640625" style="121"/>
    <col min="7170" max="7170" width="50.33203125" style="121" customWidth="1"/>
    <col min="7171" max="7171" width="90.5" style="121" customWidth="1"/>
    <col min="7172" max="7425" width="9.1640625" style="121"/>
    <col min="7426" max="7426" width="50.33203125" style="121" customWidth="1"/>
    <col min="7427" max="7427" width="90.5" style="121" customWidth="1"/>
    <col min="7428" max="7681" width="9.1640625" style="121"/>
    <col min="7682" max="7682" width="50.33203125" style="121" customWidth="1"/>
    <col min="7683" max="7683" width="90.5" style="121" customWidth="1"/>
    <col min="7684" max="7937" width="9.1640625" style="121"/>
    <col min="7938" max="7938" width="50.33203125" style="121" customWidth="1"/>
    <col min="7939" max="7939" width="90.5" style="121" customWidth="1"/>
    <col min="7940" max="8193" width="9.1640625" style="121"/>
    <col min="8194" max="8194" width="50.33203125" style="121" customWidth="1"/>
    <col min="8195" max="8195" width="90.5" style="121" customWidth="1"/>
    <col min="8196" max="8449" width="9.1640625" style="121"/>
    <col min="8450" max="8450" width="50.33203125" style="121" customWidth="1"/>
    <col min="8451" max="8451" width="90.5" style="121" customWidth="1"/>
    <col min="8452" max="8705" width="9.1640625" style="121"/>
    <col min="8706" max="8706" width="50.33203125" style="121" customWidth="1"/>
    <col min="8707" max="8707" width="90.5" style="121" customWidth="1"/>
    <col min="8708" max="8961" width="9.1640625" style="121"/>
    <col min="8962" max="8962" width="50.33203125" style="121" customWidth="1"/>
    <col min="8963" max="8963" width="90.5" style="121" customWidth="1"/>
    <col min="8964" max="9217" width="9.1640625" style="121"/>
    <col min="9218" max="9218" width="50.33203125" style="121" customWidth="1"/>
    <col min="9219" max="9219" width="90.5" style="121" customWidth="1"/>
    <col min="9220" max="9473" width="9.1640625" style="121"/>
    <col min="9474" max="9474" width="50.33203125" style="121" customWidth="1"/>
    <col min="9475" max="9475" width="90.5" style="121" customWidth="1"/>
    <col min="9476" max="9729" width="9.1640625" style="121"/>
    <col min="9730" max="9730" width="50.33203125" style="121" customWidth="1"/>
    <col min="9731" max="9731" width="90.5" style="121" customWidth="1"/>
    <col min="9732" max="9985" width="9.1640625" style="121"/>
    <col min="9986" max="9986" width="50.33203125" style="121" customWidth="1"/>
    <col min="9987" max="9987" width="90.5" style="121" customWidth="1"/>
    <col min="9988" max="10241" width="9.1640625" style="121"/>
    <col min="10242" max="10242" width="50.33203125" style="121" customWidth="1"/>
    <col min="10243" max="10243" width="90.5" style="121" customWidth="1"/>
    <col min="10244" max="10497" width="9.1640625" style="121"/>
    <col min="10498" max="10498" width="50.33203125" style="121" customWidth="1"/>
    <col min="10499" max="10499" width="90.5" style="121" customWidth="1"/>
    <col min="10500" max="10753" width="9.1640625" style="121"/>
    <col min="10754" max="10754" width="50.33203125" style="121" customWidth="1"/>
    <col min="10755" max="10755" width="90.5" style="121" customWidth="1"/>
    <col min="10756" max="11009" width="9.1640625" style="121"/>
    <col min="11010" max="11010" width="50.33203125" style="121" customWidth="1"/>
    <col min="11011" max="11011" width="90.5" style="121" customWidth="1"/>
    <col min="11012" max="11265" width="9.1640625" style="121"/>
    <col min="11266" max="11266" width="50.33203125" style="121" customWidth="1"/>
    <col min="11267" max="11267" width="90.5" style="121" customWidth="1"/>
    <col min="11268" max="11521" width="9.1640625" style="121"/>
    <col min="11522" max="11522" width="50.33203125" style="121" customWidth="1"/>
    <col min="11523" max="11523" width="90.5" style="121" customWidth="1"/>
    <col min="11524" max="11777" width="9.1640625" style="121"/>
    <col min="11778" max="11778" width="50.33203125" style="121" customWidth="1"/>
    <col min="11779" max="11779" width="90.5" style="121" customWidth="1"/>
    <col min="11780" max="12033" width="9.1640625" style="121"/>
    <col min="12034" max="12034" width="50.33203125" style="121" customWidth="1"/>
    <col min="12035" max="12035" width="90.5" style="121" customWidth="1"/>
    <col min="12036" max="12289" width="9.1640625" style="121"/>
    <col min="12290" max="12290" width="50.33203125" style="121" customWidth="1"/>
    <col min="12291" max="12291" width="90.5" style="121" customWidth="1"/>
    <col min="12292" max="12545" width="9.1640625" style="121"/>
    <col min="12546" max="12546" width="50.33203125" style="121" customWidth="1"/>
    <col min="12547" max="12547" width="90.5" style="121" customWidth="1"/>
    <col min="12548" max="12801" width="9.1640625" style="121"/>
    <col min="12802" max="12802" width="50.33203125" style="121" customWidth="1"/>
    <col min="12803" max="12803" width="90.5" style="121" customWidth="1"/>
    <col min="12804" max="13057" width="9.1640625" style="121"/>
    <col min="13058" max="13058" width="50.33203125" style="121" customWidth="1"/>
    <col min="13059" max="13059" width="90.5" style="121" customWidth="1"/>
    <col min="13060" max="13313" width="9.1640625" style="121"/>
    <col min="13314" max="13314" width="50.33203125" style="121" customWidth="1"/>
    <col min="13315" max="13315" width="90.5" style="121" customWidth="1"/>
    <col min="13316" max="13569" width="9.1640625" style="121"/>
    <col min="13570" max="13570" width="50.33203125" style="121" customWidth="1"/>
    <col min="13571" max="13571" width="90.5" style="121" customWidth="1"/>
    <col min="13572" max="13825" width="9.1640625" style="121"/>
    <col min="13826" max="13826" width="50.33203125" style="121" customWidth="1"/>
    <col min="13827" max="13827" width="90.5" style="121" customWidth="1"/>
    <col min="13828" max="14081" width="9.1640625" style="121"/>
    <col min="14082" max="14082" width="50.33203125" style="121" customWidth="1"/>
    <col min="14083" max="14083" width="90.5" style="121" customWidth="1"/>
    <col min="14084" max="14337" width="9.1640625" style="121"/>
    <col min="14338" max="14338" width="50.33203125" style="121" customWidth="1"/>
    <col min="14339" max="14339" width="90.5" style="121" customWidth="1"/>
    <col min="14340" max="14593" width="9.1640625" style="121"/>
    <col min="14594" max="14594" width="50.33203125" style="121" customWidth="1"/>
    <col min="14595" max="14595" width="90.5" style="121" customWidth="1"/>
    <col min="14596" max="14849" width="9.1640625" style="121"/>
    <col min="14850" max="14850" width="50.33203125" style="121" customWidth="1"/>
    <col min="14851" max="14851" width="90.5" style="121" customWidth="1"/>
    <col min="14852" max="15105" width="9.1640625" style="121"/>
    <col min="15106" max="15106" width="50.33203125" style="121" customWidth="1"/>
    <col min="15107" max="15107" width="90.5" style="121" customWidth="1"/>
    <col min="15108" max="15361" width="9.1640625" style="121"/>
    <col min="15362" max="15362" width="50.33203125" style="121" customWidth="1"/>
    <col min="15363" max="15363" width="90.5" style="121" customWidth="1"/>
    <col min="15364" max="15617" width="9.1640625" style="121"/>
    <col min="15618" max="15618" width="50.33203125" style="121" customWidth="1"/>
    <col min="15619" max="15619" width="90.5" style="121" customWidth="1"/>
    <col min="15620" max="15873" width="9.1640625" style="121"/>
    <col min="15874" max="15874" width="50.33203125" style="121" customWidth="1"/>
    <col min="15875" max="15875" width="90.5" style="121" customWidth="1"/>
    <col min="15876" max="16129" width="9.1640625" style="121"/>
    <col min="16130" max="16130" width="50.33203125" style="121" customWidth="1"/>
    <col min="16131" max="16131" width="90.5" style="121" customWidth="1"/>
    <col min="16132" max="16384" width="9.1640625" style="121"/>
  </cols>
  <sheetData>
    <row r="1" spans="2:3">
      <c r="C1" s="122"/>
    </row>
    <row r="2" spans="2:3">
      <c r="B2" s="1057" t="str">
        <f>Index!B2</f>
        <v>Jaigad Power Transco Ltd</v>
      </c>
      <c r="C2" s="1057"/>
    </row>
    <row r="3" spans="2:3" ht="16.5" customHeight="1">
      <c r="B3" s="1184" t="s">
        <v>435</v>
      </c>
      <c r="C3" s="1184"/>
    </row>
    <row r="4" spans="2:3" ht="14" customHeight="1">
      <c r="B4" s="1200" t="s">
        <v>698</v>
      </c>
      <c r="C4" s="1200"/>
    </row>
    <row r="7" spans="2:3">
      <c r="B7" s="123" t="s">
        <v>4</v>
      </c>
      <c r="C7" s="123" t="s">
        <v>12</v>
      </c>
    </row>
    <row r="8" spans="2:3">
      <c r="B8" s="124"/>
      <c r="C8" s="124"/>
    </row>
    <row r="9" spans="2:3" ht="16">
      <c r="B9" s="125" t="s">
        <v>425</v>
      </c>
      <c r="C9" s="126"/>
    </row>
    <row r="10" spans="2:3">
      <c r="B10" s="127" t="s">
        <v>414</v>
      </c>
      <c r="C10" s="128"/>
    </row>
    <row r="11" spans="2:3">
      <c r="B11" s="127" t="s">
        <v>426</v>
      </c>
      <c r="C11" s="129"/>
    </row>
    <row r="12" spans="2:3" ht="18">
      <c r="B12" s="130" t="s">
        <v>714</v>
      </c>
      <c r="C12" s="129"/>
    </row>
    <row r="13" spans="2:3" ht="17">
      <c r="B13" s="127" t="s">
        <v>715</v>
      </c>
      <c r="C13" s="126"/>
    </row>
    <row r="14" spans="2:3">
      <c r="B14" s="131" t="s">
        <v>427</v>
      </c>
      <c r="C14" s="132"/>
    </row>
    <row r="15" spans="2:3" ht="17">
      <c r="B15" s="127" t="s">
        <v>716</v>
      </c>
      <c r="C15" s="128"/>
    </row>
    <row r="16" spans="2:3" ht="17">
      <c r="B16" s="127" t="s">
        <v>717</v>
      </c>
      <c r="C16" s="128"/>
    </row>
    <row r="17" spans="2:3" ht="17">
      <c r="B17" s="127" t="s">
        <v>718</v>
      </c>
      <c r="C17" s="128"/>
    </row>
    <row r="18" spans="2:3">
      <c r="B18" s="127" t="s">
        <v>428</v>
      </c>
      <c r="C18" s="128"/>
    </row>
    <row r="19" spans="2:3" ht="17">
      <c r="B19" s="127" t="s">
        <v>719</v>
      </c>
      <c r="C19" s="132"/>
    </row>
    <row r="20" spans="2:3">
      <c r="B20" s="127" t="s">
        <v>429</v>
      </c>
      <c r="C20" s="133"/>
    </row>
    <row r="21" spans="2:3" ht="17">
      <c r="B21" s="127" t="s">
        <v>720</v>
      </c>
      <c r="C21" s="128"/>
    </row>
    <row r="22" spans="2:3">
      <c r="B22" s="127" t="s">
        <v>430</v>
      </c>
      <c r="C22" s="133"/>
    </row>
    <row r="23" spans="2:3" ht="17">
      <c r="B23" s="127" t="s">
        <v>721</v>
      </c>
      <c r="C23" s="128"/>
    </row>
    <row r="24" spans="2:3" ht="17">
      <c r="B24" s="127" t="s">
        <v>722</v>
      </c>
      <c r="C24" s="128"/>
    </row>
    <row r="25" spans="2:3" ht="17">
      <c r="B25" s="127" t="s">
        <v>723</v>
      </c>
      <c r="C25" s="128"/>
    </row>
    <row r="26" spans="2:3">
      <c r="B26" s="134"/>
      <c r="C26" s="134"/>
    </row>
    <row r="27" spans="2:3">
      <c r="B27" s="73" t="s">
        <v>712</v>
      </c>
      <c r="C27" s="134"/>
    </row>
    <row r="28" spans="2:3" ht="17">
      <c r="B28" s="1207" t="s">
        <v>724</v>
      </c>
      <c r="C28" s="1207"/>
    </row>
    <row r="29" spans="2:3" ht="17">
      <c r="B29" s="1207" t="s">
        <v>725</v>
      </c>
      <c r="C29" s="1207"/>
    </row>
    <row r="30" spans="2:3" ht="17">
      <c r="B30" s="1207" t="s">
        <v>726</v>
      </c>
      <c r="C30" s="1207"/>
    </row>
    <row r="31" spans="2:3" ht="17">
      <c r="B31" s="1207" t="s">
        <v>727</v>
      </c>
      <c r="C31" s="1207"/>
    </row>
    <row r="32" spans="2:3" ht="17">
      <c r="B32" s="1207" t="s">
        <v>728</v>
      </c>
      <c r="C32" s="1207"/>
    </row>
    <row r="33" spans="2:3" ht="17">
      <c r="B33" s="1207" t="s">
        <v>729</v>
      </c>
      <c r="C33" s="1207"/>
    </row>
    <row r="34" spans="2:3" ht="17">
      <c r="B34" s="1207" t="s">
        <v>730</v>
      </c>
      <c r="C34" s="1207"/>
    </row>
    <row r="35" spans="2:3" ht="17">
      <c r="B35" s="1207" t="s">
        <v>731</v>
      </c>
      <c r="C35" s="1207"/>
    </row>
    <row r="36" spans="2:3" ht="17">
      <c r="B36" s="1207" t="s">
        <v>732</v>
      </c>
      <c r="C36" s="1207"/>
    </row>
    <row r="37" spans="2:3" ht="17">
      <c r="B37" s="1207" t="s">
        <v>733</v>
      </c>
      <c r="C37" s="1207"/>
    </row>
    <row r="38" spans="2:3" ht="17">
      <c r="B38" s="1207" t="s">
        <v>734</v>
      </c>
      <c r="C38" s="1207"/>
    </row>
  </sheetData>
  <mergeCells count="14">
    <mergeCell ref="B37:C37"/>
    <mergeCell ref="B38:C38"/>
    <mergeCell ref="B31:C31"/>
    <mergeCell ref="B32:C32"/>
    <mergeCell ref="B33:C33"/>
    <mergeCell ref="B34:C34"/>
    <mergeCell ref="B35:C35"/>
    <mergeCell ref="B36:C36"/>
    <mergeCell ref="B30:C30"/>
    <mergeCell ref="B2:C2"/>
    <mergeCell ref="B3:C3"/>
    <mergeCell ref="B4:C4"/>
    <mergeCell ref="B28:C28"/>
    <mergeCell ref="B29:C29"/>
  </mergeCells>
  <printOptions horizontalCentered="1" verticalCentered="1"/>
  <pageMargins left="0.96" right="0.47244094488188981" top="0.98425196850393704" bottom="0.49" header="0.51181102362204722" footer="0.44"/>
  <pageSetup paperSize="9" scale="7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N21"/>
  <sheetViews>
    <sheetView showGridLines="0" view="pageBreakPreview" zoomScale="90" zoomScaleSheetLayoutView="90" workbookViewId="0">
      <selection activeCell="B4" sqref="B4:N4"/>
    </sheetView>
  </sheetViews>
  <sheetFormatPr baseColWidth="10" defaultColWidth="9.1640625" defaultRowHeight="15"/>
  <cols>
    <col min="1" max="1" width="9.1640625" style="73"/>
    <col min="2" max="2" width="4.6640625" style="73" customWidth="1"/>
    <col min="3" max="3" width="17.5" style="73" customWidth="1"/>
    <col min="4" max="4" width="18.1640625" style="73" customWidth="1"/>
    <col min="5" max="5" width="20.33203125" style="120" customWidth="1"/>
    <col min="6" max="6" width="16.1640625" style="119" customWidth="1"/>
    <col min="7" max="7" width="19.6640625" style="120" customWidth="1"/>
    <col min="8" max="10" width="20" style="119" customWidth="1"/>
    <col min="11" max="11" width="20.6640625" style="120" customWidth="1"/>
    <col min="12" max="12" width="14.33203125" style="119" customWidth="1"/>
    <col min="13" max="13" width="19.6640625" style="73" customWidth="1"/>
    <col min="14" max="14" width="20.5" style="73" customWidth="1"/>
    <col min="15" max="259" width="9.1640625" style="73"/>
    <col min="260" max="260" width="4.6640625" style="73" customWidth="1"/>
    <col min="261" max="261" width="11.1640625" style="73" customWidth="1"/>
    <col min="262" max="262" width="23.5" style="73" customWidth="1"/>
    <col min="263" max="263" width="16.6640625" style="73" customWidth="1"/>
    <col min="264" max="264" width="16.1640625" style="73" customWidth="1"/>
    <col min="265" max="265" width="15.1640625" style="73" customWidth="1"/>
    <col min="266" max="266" width="20" style="73" customWidth="1"/>
    <col min="267" max="267" width="16.6640625" style="73" customWidth="1"/>
    <col min="268" max="268" width="12.1640625" style="73" customWidth="1"/>
    <col min="269" max="515" width="9.1640625" style="73"/>
    <col min="516" max="516" width="4.6640625" style="73" customWidth="1"/>
    <col min="517" max="517" width="11.1640625" style="73" customWidth="1"/>
    <col min="518" max="518" width="23.5" style="73" customWidth="1"/>
    <col min="519" max="519" width="16.6640625" style="73" customWidth="1"/>
    <col min="520" max="520" width="16.1640625" style="73" customWidth="1"/>
    <col min="521" max="521" width="15.1640625" style="73" customWidth="1"/>
    <col min="522" max="522" width="20" style="73" customWidth="1"/>
    <col min="523" max="523" width="16.6640625" style="73" customWidth="1"/>
    <col min="524" max="524" width="12.1640625" style="73" customWidth="1"/>
    <col min="525" max="771" width="9.1640625" style="73"/>
    <col min="772" max="772" width="4.6640625" style="73" customWidth="1"/>
    <col min="773" max="773" width="11.1640625" style="73" customWidth="1"/>
    <col min="774" max="774" width="23.5" style="73" customWidth="1"/>
    <col min="775" max="775" width="16.6640625" style="73" customWidth="1"/>
    <col min="776" max="776" width="16.1640625" style="73" customWidth="1"/>
    <col min="777" max="777" width="15.1640625" style="73" customWidth="1"/>
    <col min="778" max="778" width="20" style="73" customWidth="1"/>
    <col min="779" max="779" width="16.6640625" style="73" customWidth="1"/>
    <col min="780" max="780" width="12.1640625" style="73" customWidth="1"/>
    <col min="781" max="1027" width="9.1640625" style="73"/>
    <col min="1028" max="1028" width="4.6640625" style="73" customWidth="1"/>
    <col min="1029" max="1029" width="11.1640625" style="73" customWidth="1"/>
    <col min="1030" max="1030" width="23.5" style="73" customWidth="1"/>
    <col min="1031" max="1031" width="16.6640625" style="73" customWidth="1"/>
    <col min="1032" max="1032" width="16.1640625" style="73" customWidth="1"/>
    <col min="1033" max="1033" width="15.1640625" style="73" customWidth="1"/>
    <col min="1034" max="1034" width="20" style="73" customWidth="1"/>
    <col min="1035" max="1035" width="16.6640625" style="73" customWidth="1"/>
    <col min="1036" max="1036" width="12.1640625" style="73" customWidth="1"/>
    <col min="1037" max="1283" width="9.1640625" style="73"/>
    <col min="1284" max="1284" width="4.6640625" style="73" customWidth="1"/>
    <col min="1285" max="1285" width="11.1640625" style="73" customWidth="1"/>
    <col min="1286" max="1286" width="23.5" style="73" customWidth="1"/>
    <col min="1287" max="1287" width="16.6640625" style="73" customWidth="1"/>
    <col min="1288" max="1288" width="16.1640625" style="73" customWidth="1"/>
    <col min="1289" max="1289" width="15.1640625" style="73" customWidth="1"/>
    <col min="1290" max="1290" width="20" style="73" customWidth="1"/>
    <col min="1291" max="1291" width="16.6640625" style="73" customWidth="1"/>
    <col min="1292" max="1292" width="12.1640625" style="73" customWidth="1"/>
    <col min="1293" max="1539" width="9.1640625" style="73"/>
    <col min="1540" max="1540" width="4.6640625" style="73" customWidth="1"/>
    <col min="1541" max="1541" width="11.1640625" style="73" customWidth="1"/>
    <col min="1542" max="1542" width="23.5" style="73" customWidth="1"/>
    <col min="1543" max="1543" width="16.6640625" style="73" customWidth="1"/>
    <col min="1544" max="1544" width="16.1640625" style="73" customWidth="1"/>
    <col min="1545" max="1545" width="15.1640625" style="73" customWidth="1"/>
    <col min="1546" max="1546" width="20" style="73" customWidth="1"/>
    <col min="1547" max="1547" width="16.6640625" style="73" customWidth="1"/>
    <col min="1548" max="1548" width="12.1640625" style="73" customWidth="1"/>
    <col min="1549" max="1795" width="9.1640625" style="73"/>
    <col min="1796" max="1796" width="4.6640625" style="73" customWidth="1"/>
    <col min="1797" max="1797" width="11.1640625" style="73" customWidth="1"/>
    <col min="1798" max="1798" width="23.5" style="73" customWidth="1"/>
    <col min="1799" max="1799" width="16.6640625" style="73" customWidth="1"/>
    <col min="1800" max="1800" width="16.1640625" style="73" customWidth="1"/>
    <col min="1801" max="1801" width="15.1640625" style="73" customWidth="1"/>
    <col min="1802" max="1802" width="20" style="73" customWidth="1"/>
    <col min="1803" max="1803" width="16.6640625" style="73" customWidth="1"/>
    <col min="1804" max="1804" width="12.1640625" style="73" customWidth="1"/>
    <col min="1805" max="2051" width="9.1640625" style="73"/>
    <col min="2052" max="2052" width="4.6640625" style="73" customWidth="1"/>
    <col min="2053" max="2053" width="11.1640625" style="73" customWidth="1"/>
    <col min="2054" max="2054" width="23.5" style="73" customWidth="1"/>
    <col min="2055" max="2055" width="16.6640625" style="73" customWidth="1"/>
    <col min="2056" max="2056" width="16.1640625" style="73" customWidth="1"/>
    <col min="2057" max="2057" width="15.1640625" style="73" customWidth="1"/>
    <col min="2058" max="2058" width="20" style="73" customWidth="1"/>
    <col min="2059" max="2059" width="16.6640625" style="73" customWidth="1"/>
    <col min="2060" max="2060" width="12.1640625" style="73" customWidth="1"/>
    <col min="2061" max="2307" width="9.1640625" style="73"/>
    <col min="2308" max="2308" width="4.6640625" style="73" customWidth="1"/>
    <col min="2309" max="2309" width="11.1640625" style="73" customWidth="1"/>
    <col min="2310" max="2310" width="23.5" style="73" customWidth="1"/>
    <col min="2311" max="2311" width="16.6640625" style="73" customWidth="1"/>
    <col min="2312" max="2312" width="16.1640625" style="73" customWidth="1"/>
    <col min="2313" max="2313" width="15.1640625" style="73" customWidth="1"/>
    <col min="2314" max="2314" width="20" style="73" customWidth="1"/>
    <col min="2315" max="2315" width="16.6640625" style="73" customWidth="1"/>
    <col min="2316" max="2316" width="12.1640625" style="73" customWidth="1"/>
    <col min="2317" max="2563" width="9.1640625" style="73"/>
    <col min="2564" max="2564" width="4.6640625" style="73" customWidth="1"/>
    <col min="2565" max="2565" width="11.1640625" style="73" customWidth="1"/>
    <col min="2566" max="2566" width="23.5" style="73" customWidth="1"/>
    <col min="2567" max="2567" width="16.6640625" style="73" customWidth="1"/>
    <col min="2568" max="2568" width="16.1640625" style="73" customWidth="1"/>
    <col min="2569" max="2569" width="15.1640625" style="73" customWidth="1"/>
    <col min="2570" max="2570" width="20" style="73" customWidth="1"/>
    <col min="2571" max="2571" width="16.6640625" style="73" customWidth="1"/>
    <col min="2572" max="2572" width="12.1640625" style="73" customWidth="1"/>
    <col min="2573" max="2819" width="9.1640625" style="73"/>
    <col min="2820" max="2820" width="4.6640625" style="73" customWidth="1"/>
    <col min="2821" max="2821" width="11.1640625" style="73" customWidth="1"/>
    <col min="2822" max="2822" width="23.5" style="73" customWidth="1"/>
    <col min="2823" max="2823" width="16.6640625" style="73" customWidth="1"/>
    <col min="2824" max="2824" width="16.1640625" style="73" customWidth="1"/>
    <col min="2825" max="2825" width="15.1640625" style="73" customWidth="1"/>
    <col min="2826" max="2826" width="20" style="73" customWidth="1"/>
    <col min="2827" max="2827" width="16.6640625" style="73" customWidth="1"/>
    <col min="2828" max="2828" width="12.1640625" style="73" customWidth="1"/>
    <col min="2829" max="3075" width="9.1640625" style="73"/>
    <col min="3076" max="3076" width="4.6640625" style="73" customWidth="1"/>
    <col min="3077" max="3077" width="11.1640625" style="73" customWidth="1"/>
    <col min="3078" max="3078" width="23.5" style="73" customWidth="1"/>
    <col min="3079" max="3079" width="16.6640625" style="73" customWidth="1"/>
    <col min="3080" max="3080" width="16.1640625" style="73" customWidth="1"/>
    <col min="3081" max="3081" width="15.1640625" style="73" customWidth="1"/>
    <col min="3082" max="3082" width="20" style="73" customWidth="1"/>
    <col min="3083" max="3083" width="16.6640625" style="73" customWidth="1"/>
    <col min="3084" max="3084" width="12.1640625" style="73" customWidth="1"/>
    <col min="3085" max="3331" width="9.1640625" style="73"/>
    <col min="3332" max="3332" width="4.6640625" style="73" customWidth="1"/>
    <col min="3333" max="3333" width="11.1640625" style="73" customWidth="1"/>
    <col min="3334" max="3334" width="23.5" style="73" customWidth="1"/>
    <col min="3335" max="3335" width="16.6640625" style="73" customWidth="1"/>
    <col min="3336" max="3336" width="16.1640625" style="73" customWidth="1"/>
    <col min="3337" max="3337" width="15.1640625" style="73" customWidth="1"/>
    <col min="3338" max="3338" width="20" style="73" customWidth="1"/>
    <col min="3339" max="3339" width="16.6640625" style="73" customWidth="1"/>
    <col min="3340" max="3340" width="12.1640625" style="73" customWidth="1"/>
    <col min="3341" max="3587" width="9.1640625" style="73"/>
    <col min="3588" max="3588" width="4.6640625" style="73" customWidth="1"/>
    <col min="3589" max="3589" width="11.1640625" style="73" customWidth="1"/>
    <col min="3590" max="3590" width="23.5" style="73" customWidth="1"/>
    <col min="3591" max="3591" width="16.6640625" style="73" customWidth="1"/>
    <col min="3592" max="3592" width="16.1640625" style="73" customWidth="1"/>
    <col min="3593" max="3593" width="15.1640625" style="73" customWidth="1"/>
    <col min="3594" max="3594" width="20" style="73" customWidth="1"/>
    <col min="3595" max="3595" width="16.6640625" style="73" customWidth="1"/>
    <col min="3596" max="3596" width="12.1640625" style="73" customWidth="1"/>
    <col min="3597" max="3843" width="9.1640625" style="73"/>
    <col min="3844" max="3844" width="4.6640625" style="73" customWidth="1"/>
    <col min="3845" max="3845" width="11.1640625" style="73" customWidth="1"/>
    <col min="3846" max="3846" width="23.5" style="73" customWidth="1"/>
    <col min="3847" max="3847" width="16.6640625" style="73" customWidth="1"/>
    <col min="3848" max="3848" width="16.1640625" style="73" customWidth="1"/>
    <col min="3849" max="3849" width="15.1640625" style="73" customWidth="1"/>
    <col min="3850" max="3850" width="20" style="73" customWidth="1"/>
    <col min="3851" max="3851" width="16.6640625" style="73" customWidth="1"/>
    <col min="3852" max="3852" width="12.1640625" style="73" customWidth="1"/>
    <col min="3853" max="4099" width="9.1640625" style="73"/>
    <col min="4100" max="4100" width="4.6640625" style="73" customWidth="1"/>
    <col min="4101" max="4101" width="11.1640625" style="73" customWidth="1"/>
    <col min="4102" max="4102" width="23.5" style="73" customWidth="1"/>
    <col min="4103" max="4103" width="16.6640625" style="73" customWidth="1"/>
    <col min="4104" max="4104" width="16.1640625" style="73" customWidth="1"/>
    <col min="4105" max="4105" width="15.1640625" style="73" customWidth="1"/>
    <col min="4106" max="4106" width="20" style="73" customWidth="1"/>
    <col min="4107" max="4107" width="16.6640625" style="73" customWidth="1"/>
    <col min="4108" max="4108" width="12.1640625" style="73" customWidth="1"/>
    <col min="4109" max="4355" width="9.1640625" style="73"/>
    <col min="4356" max="4356" width="4.6640625" style="73" customWidth="1"/>
    <col min="4357" max="4357" width="11.1640625" style="73" customWidth="1"/>
    <col min="4358" max="4358" width="23.5" style="73" customWidth="1"/>
    <col min="4359" max="4359" width="16.6640625" style="73" customWidth="1"/>
    <col min="4360" max="4360" width="16.1640625" style="73" customWidth="1"/>
    <col min="4361" max="4361" width="15.1640625" style="73" customWidth="1"/>
    <col min="4362" max="4362" width="20" style="73" customWidth="1"/>
    <col min="4363" max="4363" width="16.6640625" style="73" customWidth="1"/>
    <col min="4364" max="4364" width="12.1640625" style="73" customWidth="1"/>
    <col min="4365" max="4611" width="9.1640625" style="73"/>
    <col min="4612" max="4612" width="4.6640625" style="73" customWidth="1"/>
    <col min="4613" max="4613" width="11.1640625" style="73" customWidth="1"/>
    <col min="4614" max="4614" width="23.5" style="73" customWidth="1"/>
    <col min="4615" max="4615" width="16.6640625" style="73" customWidth="1"/>
    <col min="4616" max="4616" width="16.1640625" style="73" customWidth="1"/>
    <col min="4617" max="4617" width="15.1640625" style="73" customWidth="1"/>
    <col min="4618" max="4618" width="20" style="73" customWidth="1"/>
    <col min="4619" max="4619" width="16.6640625" style="73" customWidth="1"/>
    <col min="4620" max="4620" width="12.1640625" style="73" customWidth="1"/>
    <col min="4621" max="4867" width="9.1640625" style="73"/>
    <col min="4868" max="4868" width="4.6640625" style="73" customWidth="1"/>
    <col min="4869" max="4869" width="11.1640625" style="73" customWidth="1"/>
    <col min="4870" max="4870" width="23.5" style="73" customWidth="1"/>
    <col min="4871" max="4871" width="16.6640625" style="73" customWidth="1"/>
    <col min="4872" max="4872" width="16.1640625" style="73" customWidth="1"/>
    <col min="4873" max="4873" width="15.1640625" style="73" customWidth="1"/>
    <col min="4874" max="4874" width="20" style="73" customWidth="1"/>
    <col min="4875" max="4875" width="16.6640625" style="73" customWidth="1"/>
    <col min="4876" max="4876" width="12.1640625" style="73" customWidth="1"/>
    <col min="4877" max="5123" width="9.1640625" style="73"/>
    <col min="5124" max="5124" width="4.6640625" style="73" customWidth="1"/>
    <col min="5125" max="5125" width="11.1640625" style="73" customWidth="1"/>
    <col min="5126" max="5126" width="23.5" style="73" customWidth="1"/>
    <col min="5127" max="5127" width="16.6640625" style="73" customWidth="1"/>
    <col min="5128" max="5128" width="16.1640625" style="73" customWidth="1"/>
    <col min="5129" max="5129" width="15.1640625" style="73" customWidth="1"/>
    <col min="5130" max="5130" width="20" style="73" customWidth="1"/>
    <col min="5131" max="5131" width="16.6640625" style="73" customWidth="1"/>
    <col min="5132" max="5132" width="12.1640625" style="73" customWidth="1"/>
    <col min="5133" max="5379" width="9.1640625" style="73"/>
    <col min="5380" max="5380" width="4.6640625" style="73" customWidth="1"/>
    <col min="5381" max="5381" width="11.1640625" style="73" customWidth="1"/>
    <col min="5382" max="5382" width="23.5" style="73" customWidth="1"/>
    <col min="5383" max="5383" width="16.6640625" style="73" customWidth="1"/>
    <col min="5384" max="5384" width="16.1640625" style="73" customWidth="1"/>
    <col min="5385" max="5385" width="15.1640625" style="73" customWidth="1"/>
    <col min="5386" max="5386" width="20" style="73" customWidth="1"/>
    <col min="5387" max="5387" width="16.6640625" style="73" customWidth="1"/>
    <col min="5388" max="5388" width="12.1640625" style="73" customWidth="1"/>
    <col min="5389" max="5635" width="9.1640625" style="73"/>
    <col min="5636" max="5636" width="4.6640625" style="73" customWidth="1"/>
    <col min="5637" max="5637" width="11.1640625" style="73" customWidth="1"/>
    <col min="5638" max="5638" width="23.5" style="73" customWidth="1"/>
    <col min="5639" max="5639" width="16.6640625" style="73" customWidth="1"/>
    <col min="5640" max="5640" width="16.1640625" style="73" customWidth="1"/>
    <col min="5641" max="5641" width="15.1640625" style="73" customWidth="1"/>
    <col min="5642" max="5642" width="20" style="73" customWidth="1"/>
    <col min="5643" max="5643" width="16.6640625" style="73" customWidth="1"/>
    <col min="5644" max="5644" width="12.1640625" style="73" customWidth="1"/>
    <col min="5645" max="5891" width="9.1640625" style="73"/>
    <col min="5892" max="5892" width="4.6640625" style="73" customWidth="1"/>
    <col min="5893" max="5893" width="11.1640625" style="73" customWidth="1"/>
    <col min="5894" max="5894" width="23.5" style="73" customWidth="1"/>
    <col min="5895" max="5895" width="16.6640625" style="73" customWidth="1"/>
    <col min="5896" max="5896" width="16.1640625" style="73" customWidth="1"/>
    <col min="5897" max="5897" width="15.1640625" style="73" customWidth="1"/>
    <col min="5898" max="5898" width="20" style="73" customWidth="1"/>
    <col min="5899" max="5899" width="16.6640625" style="73" customWidth="1"/>
    <col min="5900" max="5900" width="12.1640625" style="73" customWidth="1"/>
    <col min="5901" max="6147" width="9.1640625" style="73"/>
    <col min="6148" max="6148" width="4.6640625" style="73" customWidth="1"/>
    <col min="6149" max="6149" width="11.1640625" style="73" customWidth="1"/>
    <col min="6150" max="6150" width="23.5" style="73" customWidth="1"/>
    <col min="6151" max="6151" width="16.6640625" style="73" customWidth="1"/>
    <col min="6152" max="6152" width="16.1640625" style="73" customWidth="1"/>
    <col min="6153" max="6153" width="15.1640625" style="73" customWidth="1"/>
    <col min="6154" max="6154" width="20" style="73" customWidth="1"/>
    <col min="6155" max="6155" width="16.6640625" style="73" customWidth="1"/>
    <col min="6156" max="6156" width="12.1640625" style="73" customWidth="1"/>
    <col min="6157" max="6403" width="9.1640625" style="73"/>
    <col min="6404" max="6404" width="4.6640625" style="73" customWidth="1"/>
    <col min="6405" max="6405" width="11.1640625" style="73" customWidth="1"/>
    <col min="6406" max="6406" width="23.5" style="73" customWidth="1"/>
    <col min="6407" max="6407" width="16.6640625" style="73" customWidth="1"/>
    <col min="6408" max="6408" width="16.1640625" style="73" customWidth="1"/>
    <col min="6409" max="6409" width="15.1640625" style="73" customWidth="1"/>
    <col min="6410" max="6410" width="20" style="73" customWidth="1"/>
    <col min="6411" max="6411" width="16.6640625" style="73" customWidth="1"/>
    <col min="6412" max="6412" width="12.1640625" style="73" customWidth="1"/>
    <col min="6413" max="6659" width="9.1640625" style="73"/>
    <col min="6660" max="6660" width="4.6640625" style="73" customWidth="1"/>
    <col min="6661" max="6661" width="11.1640625" style="73" customWidth="1"/>
    <col min="6662" max="6662" width="23.5" style="73" customWidth="1"/>
    <col min="6663" max="6663" width="16.6640625" style="73" customWidth="1"/>
    <col min="6664" max="6664" width="16.1640625" style="73" customWidth="1"/>
    <col min="6665" max="6665" width="15.1640625" style="73" customWidth="1"/>
    <col min="6666" max="6666" width="20" style="73" customWidth="1"/>
    <col min="6667" max="6667" width="16.6640625" style="73" customWidth="1"/>
    <col min="6668" max="6668" width="12.1640625" style="73" customWidth="1"/>
    <col min="6669" max="6915" width="9.1640625" style="73"/>
    <col min="6916" max="6916" width="4.6640625" style="73" customWidth="1"/>
    <col min="6917" max="6917" width="11.1640625" style="73" customWidth="1"/>
    <col min="6918" max="6918" width="23.5" style="73" customWidth="1"/>
    <col min="6919" max="6919" width="16.6640625" style="73" customWidth="1"/>
    <col min="6920" max="6920" width="16.1640625" style="73" customWidth="1"/>
    <col min="6921" max="6921" width="15.1640625" style="73" customWidth="1"/>
    <col min="6922" max="6922" width="20" style="73" customWidth="1"/>
    <col min="6923" max="6923" width="16.6640625" style="73" customWidth="1"/>
    <col min="6924" max="6924" width="12.1640625" style="73" customWidth="1"/>
    <col min="6925" max="7171" width="9.1640625" style="73"/>
    <col min="7172" max="7172" width="4.6640625" style="73" customWidth="1"/>
    <col min="7173" max="7173" width="11.1640625" style="73" customWidth="1"/>
    <col min="7174" max="7174" width="23.5" style="73" customWidth="1"/>
    <col min="7175" max="7175" width="16.6640625" style="73" customWidth="1"/>
    <col min="7176" max="7176" width="16.1640625" style="73" customWidth="1"/>
    <col min="7177" max="7177" width="15.1640625" style="73" customWidth="1"/>
    <col min="7178" max="7178" width="20" style="73" customWidth="1"/>
    <col min="7179" max="7179" width="16.6640625" style="73" customWidth="1"/>
    <col min="7180" max="7180" width="12.1640625" style="73" customWidth="1"/>
    <col min="7181" max="7427" width="9.1640625" style="73"/>
    <col min="7428" max="7428" width="4.6640625" style="73" customWidth="1"/>
    <col min="7429" max="7429" width="11.1640625" style="73" customWidth="1"/>
    <col min="7430" max="7430" width="23.5" style="73" customWidth="1"/>
    <col min="7431" max="7431" width="16.6640625" style="73" customWidth="1"/>
    <col min="7432" max="7432" width="16.1640625" style="73" customWidth="1"/>
    <col min="7433" max="7433" width="15.1640625" style="73" customWidth="1"/>
    <col min="7434" max="7434" width="20" style="73" customWidth="1"/>
    <col min="7435" max="7435" width="16.6640625" style="73" customWidth="1"/>
    <col min="7436" max="7436" width="12.1640625" style="73" customWidth="1"/>
    <col min="7437" max="7683" width="9.1640625" style="73"/>
    <col min="7684" max="7684" width="4.6640625" style="73" customWidth="1"/>
    <col min="7685" max="7685" width="11.1640625" style="73" customWidth="1"/>
    <col min="7686" max="7686" width="23.5" style="73" customWidth="1"/>
    <col min="7687" max="7687" width="16.6640625" style="73" customWidth="1"/>
    <col min="7688" max="7688" width="16.1640625" style="73" customWidth="1"/>
    <col min="7689" max="7689" width="15.1640625" style="73" customWidth="1"/>
    <col min="7690" max="7690" width="20" style="73" customWidth="1"/>
    <col min="7691" max="7691" width="16.6640625" style="73" customWidth="1"/>
    <col min="7692" max="7692" width="12.1640625" style="73" customWidth="1"/>
    <col min="7693" max="7939" width="9.1640625" style="73"/>
    <col min="7940" max="7940" width="4.6640625" style="73" customWidth="1"/>
    <col min="7941" max="7941" width="11.1640625" style="73" customWidth="1"/>
    <col min="7942" max="7942" width="23.5" style="73" customWidth="1"/>
    <col min="7943" max="7943" width="16.6640625" style="73" customWidth="1"/>
    <col min="7944" max="7944" width="16.1640625" style="73" customWidth="1"/>
    <col min="7945" max="7945" width="15.1640625" style="73" customWidth="1"/>
    <col min="7946" max="7946" width="20" style="73" customWidth="1"/>
    <col min="7947" max="7947" width="16.6640625" style="73" customWidth="1"/>
    <col min="7948" max="7948" width="12.1640625" style="73" customWidth="1"/>
    <col min="7949" max="8195" width="9.1640625" style="73"/>
    <col min="8196" max="8196" width="4.6640625" style="73" customWidth="1"/>
    <col min="8197" max="8197" width="11.1640625" style="73" customWidth="1"/>
    <col min="8198" max="8198" width="23.5" style="73" customWidth="1"/>
    <col min="8199" max="8199" width="16.6640625" style="73" customWidth="1"/>
    <col min="8200" max="8200" width="16.1640625" style="73" customWidth="1"/>
    <col min="8201" max="8201" width="15.1640625" style="73" customWidth="1"/>
    <col min="8202" max="8202" width="20" style="73" customWidth="1"/>
    <col min="8203" max="8203" width="16.6640625" style="73" customWidth="1"/>
    <col min="8204" max="8204" width="12.1640625" style="73" customWidth="1"/>
    <col min="8205" max="8451" width="9.1640625" style="73"/>
    <col min="8452" max="8452" width="4.6640625" style="73" customWidth="1"/>
    <col min="8453" max="8453" width="11.1640625" style="73" customWidth="1"/>
    <col min="8454" max="8454" width="23.5" style="73" customWidth="1"/>
    <col min="8455" max="8455" width="16.6640625" style="73" customWidth="1"/>
    <col min="8456" max="8456" width="16.1640625" style="73" customWidth="1"/>
    <col min="8457" max="8457" width="15.1640625" style="73" customWidth="1"/>
    <col min="8458" max="8458" width="20" style="73" customWidth="1"/>
    <col min="8459" max="8459" width="16.6640625" style="73" customWidth="1"/>
    <col min="8460" max="8460" width="12.1640625" style="73" customWidth="1"/>
    <col min="8461" max="8707" width="9.1640625" style="73"/>
    <col min="8708" max="8708" width="4.6640625" style="73" customWidth="1"/>
    <col min="8709" max="8709" width="11.1640625" style="73" customWidth="1"/>
    <col min="8710" max="8710" width="23.5" style="73" customWidth="1"/>
    <col min="8711" max="8711" width="16.6640625" style="73" customWidth="1"/>
    <col min="8712" max="8712" width="16.1640625" style="73" customWidth="1"/>
    <col min="8713" max="8713" width="15.1640625" style="73" customWidth="1"/>
    <col min="8714" max="8714" width="20" style="73" customWidth="1"/>
    <col min="8715" max="8715" width="16.6640625" style="73" customWidth="1"/>
    <col min="8716" max="8716" width="12.1640625" style="73" customWidth="1"/>
    <col min="8717" max="8963" width="9.1640625" style="73"/>
    <col min="8964" max="8964" width="4.6640625" style="73" customWidth="1"/>
    <col min="8965" max="8965" width="11.1640625" style="73" customWidth="1"/>
    <col min="8966" max="8966" width="23.5" style="73" customWidth="1"/>
    <col min="8967" max="8967" width="16.6640625" style="73" customWidth="1"/>
    <col min="8968" max="8968" width="16.1640625" style="73" customWidth="1"/>
    <col min="8969" max="8969" width="15.1640625" style="73" customWidth="1"/>
    <col min="8970" max="8970" width="20" style="73" customWidth="1"/>
    <col min="8971" max="8971" width="16.6640625" style="73" customWidth="1"/>
    <col min="8972" max="8972" width="12.1640625" style="73" customWidth="1"/>
    <col min="8973" max="9219" width="9.1640625" style="73"/>
    <col min="9220" max="9220" width="4.6640625" style="73" customWidth="1"/>
    <col min="9221" max="9221" width="11.1640625" style="73" customWidth="1"/>
    <col min="9222" max="9222" width="23.5" style="73" customWidth="1"/>
    <col min="9223" max="9223" width="16.6640625" style="73" customWidth="1"/>
    <col min="9224" max="9224" width="16.1640625" style="73" customWidth="1"/>
    <col min="9225" max="9225" width="15.1640625" style="73" customWidth="1"/>
    <col min="9226" max="9226" width="20" style="73" customWidth="1"/>
    <col min="9227" max="9227" width="16.6640625" style="73" customWidth="1"/>
    <col min="9228" max="9228" width="12.1640625" style="73" customWidth="1"/>
    <col min="9229" max="9475" width="9.1640625" style="73"/>
    <col min="9476" max="9476" width="4.6640625" style="73" customWidth="1"/>
    <col min="9477" max="9477" width="11.1640625" style="73" customWidth="1"/>
    <col min="9478" max="9478" width="23.5" style="73" customWidth="1"/>
    <col min="9479" max="9479" width="16.6640625" style="73" customWidth="1"/>
    <col min="9480" max="9480" width="16.1640625" style="73" customWidth="1"/>
    <col min="9481" max="9481" width="15.1640625" style="73" customWidth="1"/>
    <col min="9482" max="9482" width="20" style="73" customWidth="1"/>
    <col min="9483" max="9483" width="16.6640625" style="73" customWidth="1"/>
    <col min="9484" max="9484" width="12.1640625" style="73" customWidth="1"/>
    <col min="9485" max="9731" width="9.1640625" style="73"/>
    <col min="9732" max="9732" width="4.6640625" style="73" customWidth="1"/>
    <col min="9733" max="9733" width="11.1640625" style="73" customWidth="1"/>
    <col min="9734" max="9734" width="23.5" style="73" customWidth="1"/>
    <col min="9735" max="9735" width="16.6640625" style="73" customWidth="1"/>
    <col min="9736" max="9736" width="16.1640625" style="73" customWidth="1"/>
    <col min="9737" max="9737" width="15.1640625" style="73" customWidth="1"/>
    <col min="9738" max="9738" width="20" style="73" customWidth="1"/>
    <col min="9739" max="9739" width="16.6640625" style="73" customWidth="1"/>
    <col min="9740" max="9740" width="12.1640625" style="73" customWidth="1"/>
    <col min="9741" max="9987" width="9.1640625" style="73"/>
    <col min="9988" max="9988" width="4.6640625" style="73" customWidth="1"/>
    <col min="9989" max="9989" width="11.1640625" style="73" customWidth="1"/>
    <col min="9990" max="9990" width="23.5" style="73" customWidth="1"/>
    <col min="9991" max="9991" width="16.6640625" style="73" customWidth="1"/>
    <col min="9992" max="9992" width="16.1640625" style="73" customWidth="1"/>
    <col min="9993" max="9993" width="15.1640625" style="73" customWidth="1"/>
    <col min="9994" max="9994" width="20" style="73" customWidth="1"/>
    <col min="9995" max="9995" width="16.6640625" style="73" customWidth="1"/>
    <col min="9996" max="9996" width="12.1640625" style="73" customWidth="1"/>
    <col min="9997" max="10243" width="9.1640625" style="73"/>
    <col min="10244" max="10244" width="4.6640625" style="73" customWidth="1"/>
    <col min="10245" max="10245" width="11.1640625" style="73" customWidth="1"/>
    <col min="10246" max="10246" width="23.5" style="73" customWidth="1"/>
    <col min="10247" max="10247" width="16.6640625" style="73" customWidth="1"/>
    <col min="10248" max="10248" width="16.1640625" style="73" customWidth="1"/>
    <col min="10249" max="10249" width="15.1640625" style="73" customWidth="1"/>
    <col min="10250" max="10250" width="20" style="73" customWidth="1"/>
    <col min="10251" max="10251" width="16.6640625" style="73" customWidth="1"/>
    <col min="10252" max="10252" width="12.1640625" style="73" customWidth="1"/>
    <col min="10253" max="10499" width="9.1640625" style="73"/>
    <col min="10500" max="10500" width="4.6640625" style="73" customWidth="1"/>
    <col min="10501" max="10501" width="11.1640625" style="73" customWidth="1"/>
    <col min="10502" max="10502" width="23.5" style="73" customWidth="1"/>
    <col min="10503" max="10503" width="16.6640625" style="73" customWidth="1"/>
    <col min="10504" max="10504" width="16.1640625" style="73" customWidth="1"/>
    <col min="10505" max="10505" width="15.1640625" style="73" customWidth="1"/>
    <col min="10506" max="10506" width="20" style="73" customWidth="1"/>
    <col min="10507" max="10507" width="16.6640625" style="73" customWidth="1"/>
    <col min="10508" max="10508" width="12.1640625" style="73" customWidth="1"/>
    <col min="10509" max="10755" width="9.1640625" style="73"/>
    <col min="10756" max="10756" width="4.6640625" style="73" customWidth="1"/>
    <col min="10757" max="10757" width="11.1640625" style="73" customWidth="1"/>
    <col min="10758" max="10758" width="23.5" style="73" customWidth="1"/>
    <col min="10759" max="10759" width="16.6640625" style="73" customWidth="1"/>
    <col min="10760" max="10760" width="16.1640625" style="73" customWidth="1"/>
    <col min="10761" max="10761" width="15.1640625" style="73" customWidth="1"/>
    <col min="10762" max="10762" width="20" style="73" customWidth="1"/>
    <col min="10763" max="10763" width="16.6640625" style="73" customWidth="1"/>
    <col min="10764" max="10764" width="12.1640625" style="73" customWidth="1"/>
    <col min="10765" max="11011" width="9.1640625" style="73"/>
    <col min="11012" max="11012" width="4.6640625" style="73" customWidth="1"/>
    <col min="11013" max="11013" width="11.1640625" style="73" customWidth="1"/>
    <col min="11014" max="11014" width="23.5" style="73" customWidth="1"/>
    <col min="11015" max="11015" width="16.6640625" style="73" customWidth="1"/>
    <col min="11016" max="11016" width="16.1640625" style="73" customWidth="1"/>
    <col min="11017" max="11017" width="15.1640625" style="73" customWidth="1"/>
    <col min="11018" max="11018" width="20" style="73" customWidth="1"/>
    <col min="11019" max="11019" width="16.6640625" style="73" customWidth="1"/>
    <col min="11020" max="11020" width="12.1640625" style="73" customWidth="1"/>
    <col min="11021" max="11267" width="9.1640625" style="73"/>
    <col min="11268" max="11268" width="4.6640625" style="73" customWidth="1"/>
    <col min="11269" max="11269" width="11.1640625" style="73" customWidth="1"/>
    <col min="11270" max="11270" width="23.5" style="73" customWidth="1"/>
    <col min="11271" max="11271" width="16.6640625" style="73" customWidth="1"/>
    <col min="11272" max="11272" width="16.1640625" style="73" customWidth="1"/>
    <col min="11273" max="11273" width="15.1640625" style="73" customWidth="1"/>
    <col min="11274" max="11274" width="20" style="73" customWidth="1"/>
    <col min="11275" max="11275" width="16.6640625" style="73" customWidth="1"/>
    <col min="11276" max="11276" width="12.1640625" style="73" customWidth="1"/>
    <col min="11277" max="11523" width="9.1640625" style="73"/>
    <col min="11524" max="11524" width="4.6640625" style="73" customWidth="1"/>
    <col min="11525" max="11525" width="11.1640625" style="73" customWidth="1"/>
    <col min="11526" max="11526" width="23.5" style="73" customWidth="1"/>
    <col min="11527" max="11527" width="16.6640625" style="73" customWidth="1"/>
    <col min="11528" max="11528" width="16.1640625" style="73" customWidth="1"/>
    <col min="11529" max="11529" width="15.1640625" style="73" customWidth="1"/>
    <col min="11530" max="11530" width="20" style="73" customWidth="1"/>
    <col min="11531" max="11531" width="16.6640625" style="73" customWidth="1"/>
    <col min="11532" max="11532" width="12.1640625" style="73" customWidth="1"/>
    <col min="11533" max="11779" width="9.1640625" style="73"/>
    <col min="11780" max="11780" width="4.6640625" style="73" customWidth="1"/>
    <col min="11781" max="11781" width="11.1640625" style="73" customWidth="1"/>
    <col min="11782" max="11782" width="23.5" style="73" customWidth="1"/>
    <col min="11783" max="11783" width="16.6640625" style="73" customWidth="1"/>
    <col min="11784" max="11784" width="16.1640625" style="73" customWidth="1"/>
    <col min="11785" max="11785" width="15.1640625" style="73" customWidth="1"/>
    <col min="11786" max="11786" width="20" style="73" customWidth="1"/>
    <col min="11787" max="11787" width="16.6640625" style="73" customWidth="1"/>
    <col min="11788" max="11788" width="12.1640625" style="73" customWidth="1"/>
    <col min="11789" max="12035" width="9.1640625" style="73"/>
    <col min="12036" max="12036" width="4.6640625" style="73" customWidth="1"/>
    <col min="12037" max="12037" width="11.1640625" style="73" customWidth="1"/>
    <col min="12038" max="12038" width="23.5" style="73" customWidth="1"/>
    <col min="12039" max="12039" width="16.6640625" style="73" customWidth="1"/>
    <col min="12040" max="12040" width="16.1640625" style="73" customWidth="1"/>
    <col min="12041" max="12041" width="15.1640625" style="73" customWidth="1"/>
    <col min="12042" max="12042" width="20" style="73" customWidth="1"/>
    <col min="12043" max="12043" width="16.6640625" style="73" customWidth="1"/>
    <col min="12044" max="12044" width="12.1640625" style="73" customWidth="1"/>
    <col min="12045" max="12291" width="9.1640625" style="73"/>
    <col min="12292" max="12292" width="4.6640625" style="73" customWidth="1"/>
    <col min="12293" max="12293" width="11.1640625" style="73" customWidth="1"/>
    <col min="12294" max="12294" width="23.5" style="73" customWidth="1"/>
    <col min="12295" max="12295" width="16.6640625" style="73" customWidth="1"/>
    <col min="12296" max="12296" width="16.1640625" style="73" customWidth="1"/>
    <col min="12297" max="12297" width="15.1640625" style="73" customWidth="1"/>
    <col min="12298" max="12298" width="20" style="73" customWidth="1"/>
    <col min="12299" max="12299" width="16.6640625" style="73" customWidth="1"/>
    <col min="12300" max="12300" width="12.1640625" style="73" customWidth="1"/>
    <col min="12301" max="12547" width="9.1640625" style="73"/>
    <col min="12548" max="12548" width="4.6640625" style="73" customWidth="1"/>
    <col min="12549" max="12549" width="11.1640625" style="73" customWidth="1"/>
    <col min="12550" max="12550" width="23.5" style="73" customWidth="1"/>
    <col min="12551" max="12551" width="16.6640625" style="73" customWidth="1"/>
    <col min="12552" max="12552" width="16.1640625" style="73" customWidth="1"/>
    <col min="12553" max="12553" width="15.1640625" style="73" customWidth="1"/>
    <col min="12554" max="12554" width="20" style="73" customWidth="1"/>
    <col min="12555" max="12555" width="16.6640625" style="73" customWidth="1"/>
    <col min="12556" max="12556" width="12.1640625" style="73" customWidth="1"/>
    <col min="12557" max="12803" width="9.1640625" style="73"/>
    <col min="12804" max="12804" width="4.6640625" style="73" customWidth="1"/>
    <col min="12805" max="12805" width="11.1640625" style="73" customWidth="1"/>
    <col min="12806" max="12806" width="23.5" style="73" customWidth="1"/>
    <col min="12807" max="12807" width="16.6640625" style="73" customWidth="1"/>
    <col min="12808" max="12808" width="16.1640625" style="73" customWidth="1"/>
    <col min="12809" max="12809" width="15.1640625" style="73" customWidth="1"/>
    <col min="12810" max="12810" width="20" style="73" customWidth="1"/>
    <col min="12811" max="12811" width="16.6640625" style="73" customWidth="1"/>
    <col min="12812" max="12812" width="12.1640625" style="73" customWidth="1"/>
    <col min="12813" max="13059" width="9.1640625" style="73"/>
    <col min="13060" max="13060" width="4.6640625" style="73" customWidth="1"/>
    <col min="13061" max="13061" width="11.1640625" style="73" customWidth="1"/>
    <col min="13062" max="13062" width="23.5" style="73" customWidth="1"/>
    <col min="13063" max="13063" width="16.6640625" style="73" customWidth="1"/>
    <col min="13064" max="13064" width="16.1640625" style="73" customWidth="1"/>
    <col min="13065" max="13065" width="15.1640625" style="73" customWidth="1"/>
    <col min="13066" max="13066" width="20" style="73" customWidth="1"/>
    <col min="13067" max="13067" width="16.6640625" style="73" customWidth="1"/>
    <col min="13068" max="13068" width="12.1640625" style="73" customWidth="1"/>
    <col min="13069" max="13315" width="9.1640625" style="73"/>
    <col min="13316" max="13316" width="4.6640625" style="73" customWidth="1"/>
    <col min="13317" max="13317" width="11.1640625" style="73" customWidth="1"/>
    <col min="13318" max="13318" width="23.5" style="73" customWidth="1"/>
    <col min="13319" max="13319" width="16.6640625" style="73" customWidth="1"/>
    <col min="13320" max="13320" width="16.1640625" style="73" customWidth="1"/>
    <col min="13321" max="13321" width="15.1640625" style="73" customWidth="1"/>
    <col min="13322" max="13322" width="20" style="73" customWidth="1"/>
    <col min="13323" max="13323" width="16.6640625" style="73" customWidth="1"/>
    <col min="13324" max="13324" width="12.1640625" style="73" customWidth="1"/>
    <col min="13325" max="13571" width="9.1640625" style="73"/>
    <col min="13572" max="13572" width="4.6640625" style="73" customWidth="1"/>
    <col min="13573" max="13573" width="11.1640625" style="73" customWidth="1"/>
    <col min="13574" max="13574" width="23.5" style="73" customWidth="1"/>
    <col min="13575" max="13575" width="16.6640625" style="73" customWidth="1"/>
    <col min="13576" max="13576" width="16.1640625" style="73" customWidth="1"/>
    <col min="13577" max="13577" width="15.1640625" style="73" customWidth="1"/>
    <col min="13578" max="13578" width="20" style="73" customWidth="1"/>
    <col min="13579" max="13579" width="16.6640625" style="73" customWidth="1"/>
    <col min="13580" max="13580" width="12.1640625" style="73" customWidth="1"/>
    <col min="13581" max="13827" width="9.1640625" style="73"/>
    <col min="13828" max="13828" width="4.6640625" style="73" customWidth="1"/>
    <col min="13829" max="13829" width="11.1640625" style="73" customWidth="1"/>
    <col min="13830" max="13830" width="23.5" style="73" customWidth="1"/>
    <col min="13831" max="13831" width="16.6640625" style="73" customWidth="1"/>
    <col min="13832" max="13832" width="16.1640625" style="73" customWidth="1"/>
    <col min="13833" max="13833" width="15.1640625" style="73" customWidth="1"/>
    <col min="13834" max="13834" width="20" style="73" customWidth="1"/>
    <col min="13835" max="13835" width="16.6640625" style="73" customWidth="1"/>
    <col min="13836" max="13836" width="12.1640625" style="73" customWidth="1"/>
    <col min="13837" max="14083" width="9.1640625" style="73"/>
    <col min="14084" max="14084" width="4.6640625" style="73" customWidth="1"/>
    <col min="14085" max="14085" width="11.1640625" style="73" customWidth="1"/>
    <col min="14086" max="14086" width="23.5" style="73" customWidth="1"/>
    <col min="14087" max="14087" width="16.6640625" style="73" customWidth="1"/>
    <col min="14088" max="14088" width="16.1640625" style="73" customWidth="1"/>
    <col min="14089" max="14089" width="15.1640625" style="73" customWidth="1"/>
    <col min="14090" max="14090" width="20" style="73" customWidth="1"/>
    <col min="14091" max="14091" width="16.6640625" style="73" customWidth="1"/>
    <col min="14092" max="14092" width="12.1640625" style="73" customWidth="1"/>
    <col min="14093" max="14339" width="9.1640625" style="73"/>
    <col min="14340" max="14340" width="4.6640625" style="73" customWidth="1"/>
    <col min="14341" max="14341" width="11.1640625" style="73" customWidth="1"/>
    <col min="14342" max="14342" width="23.5" style="73" customWidth="1"/>
    <col min="14343" max="14343" width="16.6640625" style="73" customWidth="1"/>
    <col min="14344" max="14344" width="16.1640625" style="73" customWidth="1"/>
    <col min="14345" max="14345" width="15.1640625" style="73" customWidth="1"/>
    <col min="14346" max="14346" width="20" style="73" customWidth="1"/>
    <col min="14347" max="14347" width="16.6640625" style="73" customWidth="1"/>
    <col min="14348" max="14348" width="12.1640625" style="73" customWidth="1"/>
    <col min="14349" max="14595" width="9.1640625" style="73"/>
    <col min="14596" max="14596" width="4.6640625" style="73" customWidth="1"/>
    <col min="14597" max="14597" width="11.1640625" style="73" customWidth="1"/>
    <col min="14598" max="14598" width="23.5" style="73" customWidth="1"/>
    <col min="14599" max="14599" width="16.6640625" style="73" customWidth="1"/>
    <col min="14600" max="14600" width="16.1640625" style="73" customWidth="1"/>
    <col min="14601" max="14601" width="15.1640625" style="73" customWidth="1"/>
    <col min="14602" max="14602" width="20" style="73" customWidth="1"/>
    <col min="14603" max="14603" width="16.6640625" style="73" customWidth="1"/>
    <col min="14604" max="14604" width="12.1640625" style="73" customWidth="1"/>
    <col min="14605" max="14851" width="9.1640625" style="73"/>
    <col min="14852" max="14852" width="4.6640625" style="73" customWidth="1"/>
    <col min="14853" max="14853" width="11.1640625" style="73" customWidth="1"/>
    <col min="14854" max="14854" width="23.5" style="73" customWidth="1"/>
    <col min="14855" max="14855" width="16.6640625" style="73" customWidth="1"/>
    <col min="14856" max="14856" width="16.1640625" style="73" customWidth="1"/>
    <col min="14857" max="14857" width="15.1640625" style="73" customWidth="1"/>
    <col min="14858" max="14858" width="20" style="73" customWidth="1"/>
    <col min="14859" max="14859" width="16.6640625" style="73" customWidth="1"/>
    <col min="14860" max="14860" width="12.1640625" style="73" customWidth="1"/>
    <col min="14861" max="15107" width="9.1640625" style="73"/>
    <col min="15108" max="15108" width="4.6640625" style="73" customWidth="1"/>
    <col min="15109" max="15109" width="11.1640625" style="73" customWidth="1"/>
    <col min="15110" max="15110" width="23.5" style="73" customWidth="1"/>
    <col min="15111" max="15111" width="16.6640625" style="73" customWidth="1"/>
    <col min="15112" max="15112" width="16.1640625" style="73" customWidth="1"/>
    <col min="15113" max="15113" width="15.1640625" style="73" customWidth="1"/>
    <col min="15114" max="15114" width="20" style="73" customWidth="1"/>
    <col min="15115" max="15115" width="16.6640625" style="73" customWidth="1"/>
    <col min="15116" max="15116" width="12.1640625" style="73" customWidth="1"/>
    <col min="15117" max="15363" width="9.1640625" style="73"/>
    <col min="15364" max="15364" width="4.6640625" style="73" customWidth="1"/>
    <col min="15365" max="15365" width="11.1640625" style="73" customWidth="1"/>
    <col min="15366" max="15366" width="23.5" style="73" customWidth="1"/>
    <col min="15367" max="15367" width="16.6640625" style="73" customWidth="1"/>
    <col min="15368" max="15368" width="16.1640625" style="73" customWidth="1"/>
    <col min="15369" max="15369" width="15.1640625" style="73" customWidth="1"/>
    <col min="15370" max="15370" width="20" style="73" customWidth="1"/>
    <col min="15371" max="15371" width="16.6640625" style="73" customWidth="1"/>
    <col min="15372" max="15372" width="12.1640625" style="73" customWidth="1"/>
    <col min="15373" max="15619" width="9.1640625" style="73"/>
    <col min="15620" max="15620" width="4.6640625" style="73" customWidth="1"/>
    <col min="15621" max="15621" width="11.1640625" style="73" customWidth="1"/>
    <col min="15622" max="15622" width="23.5" style="73" customWidth="1"/>
    <col min="15623" max="15623" width="16.6640625" style="73" customWidth="1"/>
    <col min="15624" max="15624" width="16.1640625" style="73" customWidth="1"/>
    <col min="15625" max="15625" width="15.1640625" style="73" customWidth="1"/>
    <col min="15626" max="15626" width="20" style="73" customWidth="1"/>
    <col min="15627" max="15627" width="16.6640625" style="73" customWidth="1"/>
    <col min="15628" max="15628" width="12.1640625" style="73" customWidth="1"/>
    <col min="15629" max="15875" width="9.1640625" style="73"/>
    <col min="15876" max="15876" width="4.6640625" style="73" customWidth="1"/>
    <col min="15877" max="15877" width="11.1640625" style="73" customWidth="1"/>
    <col min="15878" max="15878" width="23.5" style="73" customWidth="1"/>
    <col min="15879" max="15879" width="16.6640625" style="73" customWidth="1"/>
    <col min="15880" max="15880" width="16.1640625" style="73" customWidth="1"/>
    <col min="15881" max="15881" width="15.1640625" style="73" customWidth="1"/>
    <col min="15882" max="15882" width="20" style="73" customWidth="1"/>
    <col min="15883" max="15883" width="16.6640625" style="73" customWidth="1"/>
    <col min="15884" max="15884" width="12.1640625" style="73" customWidth="1"/>
    <col min="15885" max="16131" width="9.1640625" style="73"/>
    <col min="16132" max="16132" width="4.6640625" style="73" customWidth="1"/>
    <col min="16133" max="16133" width="11.1640625" style="73" customWidth="1"/>
    <col min="16134" max="16134" width="23.5" style="73" customWidth="1"/>
    <col min="16135" max="16135" width="16.6640625" style="73" customWidth="1"/>
    <col min="16136" max="16136" width="16.1640625" style="73" customWidth="1"/>
    <col min="16137" max="16137" width="15.1640625" style="73" customWidth="1"/>
    <col min="16138" max="16138" width="20" style="73" customWidth="1"/>
    <col min="16139" max="16139" width="16.6640625" style="73" customWidth="1"/>
    <col min="16140" max="16140" width="12.1640625" style="73" customWidth="1"/>
    <col min="16141" max="16384" width="9.1640625" style="73"/>
  </cols>
  <sheetData>
    <row r="1" spans="2:14">
      <c r="B1" s="95"/>
      <c r="C1" s="95"/>
      <c r="E1" s="73"/>
      <c r="F1" s="73"/>
      <c r="G1" s="73"/>
      <c r="H1" s="73"/>
      <c r="I1" s="73"/>
      <c r="J1" s="73"/>
      <c r="K1" s="73"/>
      <c r="L1" s="73"/>
    </row>
    <row r="2" spans="2:14">
      <c r="B2" s="1057" t="str">
        <f>Index!B2</f>
        <v>Jaigad Power Transco Ltd</v>
      </c>
      <c r="C2" s="1057"/>
      <c r="D2" s="1057"/>
      <c r="E2" s="1057"/>
      <c r="F2" s="1057"/>
      <c r="G2" s="1057"/>
      <c r="H2" s="1057"/>
      <c r="I2" s="1057"/>
      <c r="J2" s="1057"/>
      <c r="K2" s="1057"/>
      <c r="L2" s="1057"/>
      <c r="M2" s="1057"/>
      <c r="N2" s="1057"/>
    </row>
    <row r="3" spans="2:14">
      <c r="B3" s="1184" t="s">
        <v>435</v>
      </c>
      <c r="C3" s="1184"/>
      <c r="D3" s="1184"/>
      <c r="E3" s="1184"/>
      <c r="F3" s="1184"/>
      <c r="G3" s="1184"/>
      <c r="H3" s="1184"/>
      <c r="I3" s="1184"/>
      <c r="J3" s="1184"/>
      <c r="K3" s="1184"/>
      <c r="L3" s="1184"/>
      <c r="M3" s="1184"/>
      <c r="N3" s="1184"/>
    </row>
    <row r="4" spans="2:14">
      <c r="B4" s="1208" t="s">
        <v>699</v>
      </c>
      <c r="C4" s="1208"/>
      <c r="D4" s="1208"/>
      <c r="E4" s="1208"/>
      <c r="F4" s="1208"/>
      <c r="G4" s="1208"/>
      <c r="H4" s="1208"/>
      <c r="I4" s="1208"/>
      <c r="J4" s="1208"/>
      <c r="K4" s="1208"/>
      <c r="L4" s="1208"/>
      <c r="M4" s="1208"/>
      <c r="N4" s="1208"/>
    </row>
    <row r="5" spans="2:14">
      <c r="E5" s="73"/>
      <c r="F5" s="73"/>
      <c r="G5" s="73"/>
      <c r="H5" s="73"/>
      <c r="I5" s="73"/>
      <c r="J5" s="73"/>
      <c r="K5" s="73"/>
      <c r="L5" s="73"/>
    </row>
    <row r="6" spans="2:14">
      <c r="E6" s="73"/>
      <c r="F6" s="73"/>
      <c r="G6" s="73"/>
      <c r="H6" s="73"/>
      <c r="I6" s="73"/>
      <c r="J6" s="73"/>
      <c r="K6" s="73"/>
      <c r="L6" s="73"/>
    </row>
    <row r="7" spans="2:14" s="96" customFormat="1">
      <c r="B7" s="1196" t="s">
        <v>226</v>
      </c>
      <c r="C7" s="1196" t="s">
        <v>431</v>
      </c>
      <c r="D7" s="1196" t="s">
        <v>432</v>
      </c>
      <c r="E7" s="1209" t="s">
        <v>540</v>
      </c>
      <c r="F7" s="1210"/>
      <c r="G7" s="1209" t="s">
        <v>541</v>
      </c>
      <c r="H7" s="1210"/>
      <c r="I7" s="1209" t="s">
        <v>542</v>
      </c>
      <c r="J7" s="1210"/>
      <c r="K7" s="1209" t="s">
        <v>543</v>
      </c>
      <c r="L7" s="1210"/>
      <c r="M7" s="1209" t="s">
        <v>544</v>
      </c>
      <c r="N7" s="1210"/>
    </row>
    <row r="8" spans="2:14" ht="48">
      <c r="B8" s="1198"/>
      <c r="C8" s="1198"/>
      <c r="D8" s="1198"/>
      <c r="E8" s="97" t="s">
        <v>433</v>
      </c>
      <c r="F8" s="97" t="s">
        <v>434</v>
      </c>
      <c r="G8" s="97" t="s">
        <v>433</v>
      </c>
      <c r="H8" s="97" t="s">
        <v>434</v>
      </c>
      <c r="I8" s="97" t="s">
        <v>433</v>
      </c>
      <c r="J8" s="97" t="s">
        <v>434</v>
      </c>
      <c r="K8" s="97" t="s">
        <v>433</v>
      </c>
      <c r="L8" s="97" t="s">
        <v>434</v>
      </c>
      <c r="M8" s="97" t="s">
        <v>433</v>
      </c>
      <c r="N8" s="97" t="s">
        <v>434</v>
      </c>
    </row>
    <row r="9" spans="2:14">
      <c r="B9" s="98"/>
      <c r="C9" s="98"/>
      <c r="D9" s="98"/>
      <c r="E9" s="98"/>
      <c r="F9" s="98"/>
      <c r="G9" s="98"/>
      <c r="H9" s="98"/>
      <c r="I9" s="98"/>
      <c r="J9" s="98"/>
      <c r="K9" s="98"/>
      <c r="L9" s="98"/>
      <c r="M9" s="98"/>
      <c r="N9" s="98"/>
    </row>
    <row r="10" spans="2:14">
      <c r="B10" s="99"/>
      <c r="C10" s="100"/>
      <c r="D10" s="98"/>
      <c r="E10" s="101"/>
      <c r="F10" s="102"/>
      <c r="G10" s="101"/>
      <c r="H10" s="102"/>
      <c r="I10" s="102"/>
      <c r="J10" s="102"/>
      <c r="K10" s="101"/>
      <c r="L10" s="102"/>
      <c r="M10" s="102"/>
      <c r="N10" s="102"/>
    </row>
    <row r="11" spans="2:14">
      <c r="B11" s="103"/>
      <c r="C11" s="104"/>
      <c r="D11" s="105"/>
      <c r="E11" s="106"/>
      <c r="F11" s="107"/>
      <c r="G11" s="106"/>
      <c r="H11" s="107"/>
      <c r="I11" s="107"/>
      <c r="J11" s="107"/>
      <c r="K11" s="106"/>
      <c r="L11" s="102"/>
      <c r="M11" s="102"/>
      <c r="N11" s="102"/>
    </row>
    <row r="12" spans="2:14">
      <c r="B12" s="103"/>
      <c r="C12" s="104"/>
      <c r="D12" s="105"/>
      <c r="E12" s="106"/>
      <c r="F12" s="107"/>
      <c r="G12" s="106"/>
      <c r="H12" s="107"/>
      <c r="I12" s="107"/>
      <c r="J12" s="107"/>
      <c r="K12" s="106"/>
      <c r="L12" s="102"/>
      <c r="M12" s="102"/>
      <c r="N12" s="102"/>
    </row>
    <row r="13" spans="2:14">
      <c r="B13" s="103"/>
      <c r="C13" s="104"/>
      <c r="D13" s="105"/>
      <c r="E13" s="106"/>
      <c r="F13" s="107"/>
      <c r="G13" s="106"/>
      <c r="H13" s="107"/>
      <c r="I13" s="107"/>
      <c r="J13" s="107"/>
      <c r="K13" s="106"/>
      <c r="L13" s="102"/>
      <c r="M13" s="102"/>
      <c r="N13" s="102"/>
    </row>
    <row r="14" spans="2:14">
      <c r="B14" s="103"/>
      <c r="C14" s="108"/>
      <c r="D14" s="105"/>
      <c r="E14" s="106"/>
      <c r="F14" s="107"/>
      <c r="G14" s="106"/>
      <c r="H14" s="107"/>
      <c r="I14" s="107"/>
      <c r="J14" s="107"/>
      <c r="K14" s="106"/>
      <c r="L14" s="102"/>
      <c r="M14" s="102"/>
      <c r="N14" s="102"/>
    </row>
    <row r="15" spans="2:14">
      <c r="B15" s="103"/>
      <c r="C15" s="104"/>
      <c r="D15" s="105"/>
      <c r="E15" s="106"/>
      <c r="F15" s="107"/>
      <c r="G15" s="106"/>
      <c r="H15" s="107"/>
      <c r="I15" s="107"/>
      <c r="J15" s="107"/>
      <c r="K15" s="106"/>
      <c r="L15" s="102"/>
      <c r="M15" s="102"/>
      <c r="N15" s="102"/>
    </row>
    <row r="16" spans="2:14">
      <c r="B16" s="103"/>
      <c r="C16" s="104"/>
      <c r="D16" s="105"/>
      <c r="E16" s="106"/>
      <c r="F16" s="107"/>
      <c r="G16" s="106"/>
      <c r="H16" s="107"/>
      <c r="I16" s="107"/>
      <c r="J16" s="107"/>
      <c r="K16" s="106"/>
      <c r="L16" s="102"/>
      <c r="M16" s="102"/>
      <c r="N16" s="102"/>
    </row>
    <row r="17" spans="2:14" s="115" customFormat="1" ht="17" thickBot="1">
      <c r="B17" s="109"/>
      <c r="C17" s="110" t="s">
        <v>23</v>
      </c>
      <c r="D17" s="111"/>
      <c r="E17" s="112"/>
      <c r="F17" s="113"/>
      <c r="G17" s="114"/>
      <c r="H17" s="113"/>
      <c r="I17" s="113"/>
      <c r="J17" s="113"/>
      <c r="K17" s="114"/>
      <c r="L17" s="114"/>
      <c r="M17" s="114"/>
      <c r="N17" s="114"/>
    </row>
    <row r="19" spans="2:14">
      <c r="B19" s="73" t="s">
        <v>713</v>
      </c>
      <c r="C19" s="116"/>
      <c r="D19" s="116"/>
      <c r="E19" s="117"/>
      <c r="F19" s="118"/>
      <c r="G19" s="117"/>
      <c r="H19" s="118"/>
      <c r="I19" s="118"/>
      <c r="J19" s="118"/>
      <c r="K19" s="117"/>
    </row>
    <row r="20" spans="2:14">
      <c r="C20" s="116" t="s">
        <v>586</v>
      </c>
      <c r="D20" s="116"/>
      <c r="E20" s="117"/>
      <c r="F20" s="118"/>
      <c r="G20" s="117"/>
      <c r="H20" s="118"/>
      <c r="I20" s="118"/>
      <c r="J20" s="118"/>
      <c r="K20" s="117"/>
    </row>
    <row r="21" spans="2:14">
      <c r="C21" s="116" t="s">
        <v>587</v>
      </c>
      <c r="D21" s="116"/>
      <c r="E21" s="117"/>
      <c r="F21" s="118"/>
      <c r="G21" s="117"/>
      <c r="H21" s="118"/>
      <c r="I21" s="118"/>
      <c r="J21" s="118"/>
      <c r="K21" s="117"/>
    </row>
  </sheetData>
  <mergeCells count="11">
    <mergeCell ref="B2:N2"/>
    <mergeCell ref="B3:N3"/>
    <mergeCell ref="B4:N4"/>
    <mergeCell ref="M7:N7"/>
    <mergeCell ref="B7:B8"/>
    <mergeCell ref="C7:C8"/>
    <mergeCell ref="D7:D8"/>
    <mergeCell ref="E7:F7"/>
    <mergeCell ref="G7:H7"/>
    <mergeCell ref="K7:L7"/>
    <mergeCell ref="I7:J7"/>
  </mergeCells>
  <pageMargins left="0.74803149606299213" right="0.74803149606299213" top="0.70866141732283472" bottom="0.47244094488188981" header="0.51181102362204722" footer="0.35433070866141736"/>
  <pageSetup paperSize="9"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8"/>
  <sheetViews>
    <sheetView showGridLines="0" view="pageBreakPreview" zoomScale="60" zoomScaleNormal="75" workbookViewId="0">
      <selection activeCell="A27" sqref="A27:XFD28"/>
    </sheetView>
  </sheetViews>
  <sheetFormatPr baseColWidth="10" defaultColWidth="9.1640625" defaultRowHeight="15"/>
  <cols>
    <col min="1" max="1" width="4.5" style="5" customWidth="1"/>
    <col min="2" max="2" width="5.6640625" style="556" customWidth="1"/>
    <col min="3" max="3" width="50.5" style="5" customWidth="1"/>
    <col min="4" max="4" width="15.1640625" style="5" customWidth="1"/>
    <col min="5" max="20" width="16.33203125" style="5" customWidth="1"/>
    <col min="21" max="21" width="12.5" style="5" customWidth="1"/>
    <col min="22" max="24" width="16.6640625" style="5" customWidth="1"/>
    <col min="25" max="25" width="21.1640625" style="5" customWidth="1"/>
    <col min="26" max="16384" width="9.1640625" style="5"/>
  </cols>
  <sheetData>
    <row r="1" spans="1:25">
      <c r="B1" s="528"/>
    </row>
    <row r="2" spans="1:25" s="949" customFormat="1">
      <c r="B2" s="529" t="str">
        <f>'F1 '!B2</f>
        <v>Jaigad Power Transco Ltd</v>
      </c>
      <c r="C2" s="529"/>
      <c r="D2" s="529"/>
      <c r="E2" s="529"/>
      <c r="F2" s="529"/>
      <c r="G2" s="529"/>
      <c r="H2" s="529"/>
      <c r="I2" s="529"/>
      <c r="J2" s="529"/>
      <c r="K2" s="529"/>
      <c r="L2" s="529"/>
      <c r="M2" s="529"/>
      <c r="N2" s="529"/>
      <c r="O2" s="529"/>
      <c r="P2" s="529"/>
      <c r="Q2" s="529"/>
      <c r="R2" s="529"/>
      <c r="S2" s="529"/>
      <c r="T2" s="6"/>
      <c r="U2" s="6"/>
      <c r="V2" s="6"/>
      <c r="W2" s="6"/>
      <c r="X2" s="6"/>
      <c r="Y2" s="6"/>
    </row>
    <row r="3" spans="1:25" s="949" customFormat="1">
      <c r="B3" s="530" t="s">
        <v>187</v>
      </c>
      <c r="C3" s="530"/>
      <c r="D3" s="530"/>
      <c r="E3" s="530"/>
      <c r="F3" s="530"/>
      <c r="G3" s="530"/>
      <c r="H3" s="530"/>
      <c r="I3" s="530"/>
      <c r="J3" s="530"/>
      <c r="K3" s="530"/>
      <c r="L3" s="530"/>
      <c r="M3" s="530"/>
      <c r="N3" s="530"/>
      <c r="O3" s="530"/>
      <c r="P3" s="530"/>
      <c r="Q3" s="530"/>
      <c r="R3" s="530"/>
      <c r="S3" s="530"/>
      <c r="T3" s="950"/>
      <c r="U3" s="950"/>
      <c r="V3" s="950"/>
      <c r="W3" s="950"/>
      <c r="X3" s="950"/>
      <c r="Y3" s="950"/>
    </row>
    <row r="4" spans="1:25" s="949" customFormat="1" ht="33.75" customHeight="1">
      <c r="B4" s="997" t="s">
        <v>709</v>
      </c>
      <c r="C4" s="997"/>
      <c r="D4" s="997"/>
      <c r="E4" s="529"/>
      <c r="F4" s="529"/>
      <c r="G4" s="529"/>
      <c r="H4" s="529"/>
      <c r="I4" s="529"/>
      <c r="J4" s="529"/>
      <c r="K4" s="529"/>
      <c r="L4" s="529"/>
      <c r="M4" s="529"/>
      <c r="N4" s="529"/>
      <c r="O4" s="529"/>
      <c r="P4" s="529"/>
      <c r="Q4" s="529"/>
      <c r="R4" s="529"/>
      <c r="S4" s="529"/>
      <c r="T4" s="6"/>
      <c r="U4" s="6"/>
      <c r="V4" s="6"/>
      <c r="W4" s="6"/>
      <c r="X4" s="6"/>
      <c r="Y4" s="6"/>
    </row>
    <row r="5" spans="1:25">
      <c r="B5" s="528"/>
      <c r="C5" s="528"/>
      <c r="D5" s="528"/>
      <c r="E5" s="528"/>
      <c r="F5" s="528"/>
      <c r="G5" s="528"/>
      <c r="H5" s="528"/>
      <c r="I5" s="528"/>
      <c r="J5" s="528"/>
      <c r="K5" s="528"/>
      <c r="L5" s="528"/>
      <c r="M5" s="528"/>
      <c r="N5" s="528"/>
      <c r="O5" s="528"/>
      <c r="P5" s="528"/>
      <c r="Q5" s="528"/>
      <c r="R5" s="528"/>
      <c r="S5" s="528"/>
      <c r="T5" s="529"/>
      <c r="U5" s="529"/>
      <c r="V5" s="529"/>
      <c r="W5" s="529"/>
      <c r="X5" s="529"/>
      <c r="Y5" s="529"/>
    </row>
    <row r="6" spans="1:25" s="275" customFormat="1" ht="20.25" customHeight="1">
      <c r="B6" s="980" t="s">
        <v>226</v>
      </c>
      <c r="C6" s="985" t="s">
        <v>4</v>
      </c>
      <c r="D6" s="985" t="s">
        <v>18</v>
      </c>
      <c r="E6" s="987" t="s">
        <v>213</v>
      </c>
      <c r="F6" s="988"/>
      <c r="G6" s="989"/>
      <c r="H6" s="987" t="s">
        <v>214</v>
      </c>
      <c r="I6" s="988"/>
      <c r="J6" s="989"/>
      <c r="K6" s="987" t="s">
        <v>215</v>
      </c>
      <c r="L6" s="988"/>
      <c r="M6" s="988"/>
      <c r="N6" s="988"/>
      <c r="O6" s="989"/>
      <c r="P6" s="978" t="s">
        <v>78</v>
      </c>
      <c r="Q6" s="978"/>
      <c r="R6" s="978"/>
      <c r="S6" s="978"/>
      <c r="T6" s="978"/>
      <c r="U6" s="978" t="s">
        <v>37</v>
      </c>
    </row>
    <row r="7" spans="1:25" s="275" customFormat="1" ht="59.25" customHeight="1">
      <c r="B7" s="981"/>
      <c r="C7" s="985"/>
      <c r="D7" s="985"/>
      <c r="E7" s="362" t="s">
        <v>313</v>
      </c>
      <c r="F7" s="362" t="s">
        <v>778</v>
      </c>
      <c r="G7" s="362" t="s">
        <v>312</v>
      </c>
      <c r="H7" s="362" t="s">
        <v>313</v>
      </c>
      <c r="I7" s="362" t="s">
        <v>778</v>
      </c>
      <c r="J7" s="362" t="s">
        <v>312</v>
      </c>
      <c r="K7" s="362" t="s">
        <v>313</v>
      </c>
      <c r="L7" s="362" t="s">
        <v>314</v>
      </c>
      <c r="M7" s="362" t="s">
        <v>315</v>
      </c>
      <c r="N7" s="362" t="s">
        <v>58</v>
      </c>
      <c r="O7" s="362" t="s">
        <v>316</v>
      </c>
      <c r="P7" s="362" t="s">
        <v>540</v>
      </c>
      <c r="Q7" s="362" t="s">
        <v>541</v>
      </c>
      <c r="R7" s="362" t="s">
        <v>542</v>
      </c>
      <c r="S7" s="362" t="s">
        <v>543</v>
      </c>
      <c r="T7" s="362" t="s">
        <v>544</v>
      </c>
      <c r="U7" s="978"/>
    </row>
    <row r="8" spans="1:25" s="275" customFormat="1" ht="28.5" customHeight="1">
      <c r="B8" s="998"/>
      <c r="C8" s="999"/>
      <c r="D8" s="999"/>
      <c r="E8" s="362" t="s">
        <v>56</v>
      </c>
      <c r="F8" s="362" t="s">
        <v>57</v>
      </c>
      <c r="G8" s="362" t="s">
        <v>317</v>
      </c>
      <c r="H8" s="362" t="s">
        <v>318</v>
      </c>
      <c r="I8" s="362" t="s">
        <v>319</v>
      </c>
      <c r="J8" s="362" t="s">
        <v>545</v>
      </c>
      <c r="K8" s="362" t="s">
        <v>546</v>
      </c>
      <c r="L8" s="362" t="s">
        <v>547</v>
      </c>
      <c r="M8" s="362" t="s">
        <v>548</v>
      </c>
      <c r="N8" s="362" t="s">
        <v>549</v>
      </c>
      <c r="O8" s="362" t="s">
        <v>550</v>
      </c>
      <c r="P8" s="362" t="s">
        <v>86</v>
      </c>
      <c r="Q8" s="362" t="s">
        <v>86</v>
      </c>
      <c r="R8" s="362" t="s">
        <v>86</v>
      </c>
      <c r="S8" s="362" t="s">
        <v>86</v>
      </c>
      <c r="T8" s="362" t="s">
        <v>86</v>
      </c>
      <c r="U8" s="979"/>
    </row>
    <row r="9" spans="1:25" s="537" customFormat="1" ht="15" customHeight="1">
      <c r="A9" s="18"/>
      <c r="B9" s="531">
        <v>1</v>
      </c>
      <c r="C9" s="319" t="s">
        <v>330</v>
      </c>
      <c r="D9" s="532" t="s">
        <v>93</v>
      </c>
      <c r="E9" s="533"/>
      <c r="F9" s="533"/>
      <c r="G9" s="533"/>
      <c r="H9" s="533"/>
      <c r="I9" s="534"/>
      <c r="J9" s="534"/>
      <c r="K9" s="534"/>
      <c r="L9" s="534"/>
      <c r="M9" s="534"/>
      <c r="N9" s="534"/>
      <c r="O9" s="534"/>
      <c r="P9" s="535">
        <f>'F2.1 '!S56</f>
        <v>4.5335999999999999</v>
      </c>
      <c r="Q9" s="535">
        <f>'F2.1 '!W56</f>
        <v>4.6854000000000005</v>
      </c>
      <c r="R9" s="535">
        <f>'F2.1 '!AA56</f>
        <v>4.8746</v>
      </c>
      <c r="S9" s="535">
        <f>'F2.1 '!AE56</f>
        <v>5.0686</v>
      </c>
      <c r="T9" s="536">
        <f>'F2.1 '!AI56</f>
        <v>5.2674000000000003</v>
      </c>
      <c r="U9" s="536"/>
    </row>
    <row r="10" spans="1:25" s="537" customFormat="1" ht="15" customHeight="1">
      <c r="A10" s="18"/>
      <c r="B10" s="531">
        <f>B9+1</f>
        <v>2</v>
      </c>
      <c r="C10" s="538" t="s">
        <v>94</v>
      </c>
      <c r="D10" s="532" t="s">
        <v>96</v>
      </c>
      <c r="E10" s="539"/>
      <c r="F10" s="533">
        <f>'F2.3'!D35</f>
        <v>1.1059352000000002</v>
      </c>
      <c r="G10" s="539"/>
      <c r="H10" s="1000"/>
      <c r="I10" s="631">
        <f>'F2.3'!E35</f>
        <v>0.99864039999999987</v>
      </c>
      <c r="J10" s="1003"/>
      <c r="K10" s="1003"/>
      <c r="L10" s="534">
        <f>'F2.3'!F35</f>
        <v>0.81379709999999983</v>
      </c>
      <c r="M10" s="534">
        <f>'F2.3'!G35</f>
        <v>0.81379709999999983</v>
      </c>
      <c r="N10" s="534">
        <f>SUM(L10:M10)</f>
        <v>1.6275941999999997</v>
      </c>
      <c r="O10" s="1003"/>
      <c r="P10" s="1003"/>
      <c r="Q10" s="1003"/>
      <c r="R10" s="1003"/>
      <c r="S10" s="1003"/>
      <c r="T10" s="1006"/>
      <c r="U10" s="536"/>
    </row>
    <row r="11" spans="1:25" s="542" customFormat="1">
      <c r="A11" s="540"/>
      <c r="B11" s="531">
        <f t="shared" ref="B11:B14" si="0">B10+1</f>
        <v>3</v>
      </c>
      <c r="C11" s="538" t="s">
        <v>97</v>
      </c>
      <c r="D11" s="532" t="s">
        <v>98</v>
      </c>
      <c r="E11" s="541"/>
      <c r="F11" s="533">
        <f>'F2.4'!D40</f>
        <v>1.8910859000000002</v>
      </c>
      <c r="G11" s="541"/>
      <c r="H11" s="1001"/>
      <c r="I11" s="631">
        <f>'F2.4'!E40</f>
        <v>1.0945863</v>
      </c>
      <c r="J11" s="1004"/>
      <c r="K11" s="1004"/>
      <c r="L11" s="534">
        <f>'F2.4'!F40</f>
        <v>0.60045607368715292</v>
      </c>
      <c r="M11" s="534">
        <f>'F2.4'!G40</f>
        <v>0.97559870868715304</v>
      </c>
      <c r="N11" s="534">
        <f t="shared" ref="N11:N12" si="1">SUM(L11:M11)</f>
        <v>1.5760547823743059</v>
      </c>
      <c r="O11" s="1004"/>
      <c r="P11" s="1004"/>
      <c r="Q11" s="1004"/>
      <c r="R11" s="1004"/>
      <c r="S11" s="1004"/>
      <c r="T11" s="1007"/>
      <c r="U11" s="536"/>
    </row>
    <row r="12" spans="1:25" s="542" customFormat="1">
      <c r="A12" s="540"/>
      <c r="B12" s="531">
        <f t="shared" si="0"/>
        <v>4</v>
      </c>
      <c r="C12" s="538" t="s">
        <v>95</v>
      </c>
      <c r="D12" s="532" t="s">
        <v>159</v>
      </c>
      <c r="E12" s="543"/>
      <c r="F12" s="533">
        <f>'F2.5'!D21</f>
        <v>1.2800303790000001</v>
      </c>
      <c r="G12" s="543"/>
      <c r="H12" s="1002"/>
      <c r="I12" s="631">
        <f>'F2.5'!E21</f>
        <v>1.8187281000000002</v>
      </c>
      <c r="J12" s="1005"/>
      <c r="K12" s="1005"/>
      <c r="L12" s="534">
        <f>'F2.5'!F21</f>
        <v>0.54</v>
      </c>
      <c r="M12" s="534">
        <f>'F2.5'!G21</f>
        <v>1.28</v>
      </c>
      <c r="N12" s="534">
        <f t="shared" si="1"/>
        <v>1.82</v>
      </c>
      <c r="O12" s="1005"/>
      <c r="P12" s="1005"/>
      <c r="Q12" s="1005"/>
      <c r="R12" s="1005"/>
      <c r="S12" s="1005"/>
      <c r="T12" s="1008"/>
      <c r="U12" s="536"/>
    </row>
    <row r="13" spans="1:25" s="542" customFormat="1">
      <c r="A13" s="540"/>
      <c r="B13" s="531">
        <f t="shared" si="0"/>
        <v>5</v>
      </c>
      <c r="C13" s="965" t="s">
        <v>955</v>
      </c>
      <c r="D13" s="532"/>
      <c r="E13" s="963"/>
      <c r="F13" s="533"/>
      <c r="G13" s="963"/>
      <c r="H13" s="963"/>
      <c r="I13" s="631"/>
      <c r="J13" s="964"/>
      <c r="K13" s="964"/>
      <c r="L13" s="534"/>
      <c r="M13" s="534"/>
      <c r="N13" s="534"/>
      <c r="O13" s="964"/>
      <c r="P13" s="964">
        <v>0.75</v>
      </c>
      <c r="Q13" s="969">
        <v>0.75</v>
      </c>
      <c r="R13" s="969">
        <v>0.75</v>
      </c>
      <c r="S13" s="964">
        <f t="shared" ref="S13:T13" si="2">G25</f>
        <v>0</v>
      </c>
      <c r="T13" s="964">
        <f t="shared" si="2"/>
        <v>0</v>
      </c>
      <c r="U13" s="536"/>
    </row>
    <row r="14" spans="1:25" s="549" customFormat="1" ht="32">
      <c r="A14" s="544"/>
      <c r="B14" s="531">
        <f t="shared" si="0"/>
        <v>6</v>
      </c>
      <c r="C14" s="545" t="s">
        <v>228</v>
      </c>
      <c r="D14" s="546"/>
      <c r="E14" s="547">
        <f>'F2.1 '!D56</f>
        <v>4.5655999999999999</v>
      </c>
      <c r="F14" s="547">
        <f>SUM(F10:F12)</f>
        <v>4.2770514790000007</v>
      </c>
      <c r="G14" s="547">
        <f>F14-E14</f>
        <v>-0.28854852099999917</v>
      </c>
      <c r="H14" s="547">
        <f>'F2.1 '!I56</f>
        <v>4.7872000000000003</v>
      </c>
      <c r="I14" s="547">
        <f t="shared" ref="I14" si="3">SUM(I10:I12)</f>
        <v>3.9119548000000002</v>
      </c>
      <c r="J14" s="547">
        <f>I14-H14</f>
        <v>-0.87524520000000017</v>
      </c>
      <c r="K14" s="547">
        <f>'F2.1 '!N56</f>
        <v>5.0167999999999999</v>
      </c>
      <c r="L14" s="547">
        <f t="shared" ref="L14" si="4">SUM(L10:L12)</f>
        <v>1.9542531736871527</v>
      </c>
      <c r="M14" s="547">
        <f t="shared" ref="M14:N14" si="5">SUM(M10:M12)</f>
        <v>3.0693958086871529</v>
      </c>
      <c r="N14" s="547">
        <f t="shared" si="5"/>
        <v>5.023648982374306</v>
      </c>
      <c r="O14" s="547">
        <f>N14-M14</f>
        <v>1.9542531736871531</v>
      </c>
      <c r="P14" s="547">
        <f>P9+P13</f>
        <v>5.2835999999999999</v>
      </c>
      <c r="Q14" s="547">
        <f t="shared" ref="Q14:T14" si="6">Q9+Q13</f>
        <v>5.4354000000000005</v>
      </c>
      <c r="R14" s="547">
        <f t="shared" si="6"/>
        <v>5.6246</v>
      </c>
      <c r="S14" s="547">
        <f t="shared" si="6"/>
        <v>5.0686</v>
      </c>
      <c r="T14" s="547">
        <f t="shared" si="6"/>
        <v>5.2674000000000003</v>
      </c>
      <c r="U14" s="548"/>
    </row>
    <row r="17" spans="2:9">
      <c r="B17" s="990" t="s">
        <v>559</v>
      </c>
      <c r="C17" s="990"/>
      <c r="D17" s="990"/>
      <c r="E17" s="990"/>
      <c r="F17" s="990"/>
      <c r="G17" s="990"/>
      <c r="H17" s="990"/>
      <c r="I17" s="299"/>
    </row>
    <row r="18" spans="2:9">
      <c r="B18" s="299"/>
      <c r="C18" s="299"/>
      <c r="D18" s="299"/>
      <c r="E18" s="299"/>
      <c r="F18" s="299"/>
      <c r="G18" s="299"/>
      <c r="H18" s="431" t="s">
        <v>33</v>
      </c>
      <c r="I18" s="299"/>
    </row>
    <row r="19" spans="2:9">
      <c r="B19" s="991" t="s">
        <v>226</v>
      </c>
      <c r="C19" s="991" t="s">
        <v>4</v>
      </c>
      <c r="D19" s="993" t="s">
        <v>78</v>
      </c>
      <c r="E19" s="993"/>
      <c r="F19" s="993"/>
      <c r="G19" s="993"/>
      <c r="H19" s="993"/>
      <c r="I19" s="994" t="s">
        <v>37</v>
      </c>
    </row>
    <row r="20" spans="2:9" ht="27.75" customHeight="1">
      <c r="B20" s="991"/>
      <c r="C20" s="992"/>
      <c r="D20" s="362" t="s">
        <v>540</v>
      </c>
      <c r="E20" s="362" t="s">
        <v>541</v>
      </c>
      <c r="F20" s="362" t="s">
        <v>542</v>
      </c>
      <c r="G20" s="362" t="s">
        <v>543</v>
      </c>
      <c r="H20" s="362" t="s">
        <v>544</v>
      </c>
      <c r="I20" s="995"/>
    </row>
    <row r="21" spans="2:9" ht="16">
      <c r="B21" s="991"/>
      <c r="C21" s="992"/>
      <c r="D21" s="551" t="s">
        <v>555</v>
      </c>
      <c r="E21" s="551" t="s">
        <v>555</v>
      </c>
      <c r="F21" s="551" t="s">
        <v>555</v>
      </c>
      <c r="G21" s="551" t="s">
        <v>555</v>
      </c>
      <c r="H21" s="551" t="s">
        <v>555</v>
      </c>
      <c r="I21" s="996"/>
    </row>
    <row r="22" spans="2:9">
      <c r="B22" s="434">
        <v>1</v>
      </c>
      <c r="C22" s="552" t="s">
        <v>556</v>
      </c>
      <c r="D22" s="553"/>
      <c r="E22" s="553"/>
      <c r="F22" s="553"/>
      <c r="G22" s="553"/>
      <c r="H22" s="553"/>
      <c r="I22" s="553"/>
    </row>
    <row r="23" spans="2:9">
      <c r="B23" s="554">
        <v>2</v>
      </c>
      <c r="C23" s="553" t="s">
        <v>557</v>
      </c>
      <c r="D23" s="553"/>
      <c r="E23" s="553"/>
      <c r="F23" s="553"/>
      <c r="G23" s="553"/>
      <c r="H23" s="553"/>
      <c r="I23" s="553"/>
    </row>
    <row r="24" spans="2:9">
      <c r="B24" s="554">
        <v>3</v>
      </c>
      <c r="C24" s="553" t="s">
        <v>558</v>
      </c>
      <c r="D24" s="553"/>
      <c r="E24" s="553"/>
      <c r="F24" s="553"/>
      <c r="G24" s="553"/>
      <c r="H24" s="553"/>
      <c r="I24" s="553"/>
    </row>
    <row r="25" spans="2:9">
      <c r="B25" s="554">
        <v>4</v>
      </c>
      <c r="C25" s="553" t="s">
        <v>954</v>
      </c>
      <c r="D25" s="553"/>
      <c r="E25" s="553"/>
      <c r="F25" s="553"/>
      <c r="G25" s="553"/>
      <c r="H25" s="553"/>
      <c r="I25" s="553"/>
    </row>
    <row r="26" spans="2:9">
      <c r="B26" s="299"/>
      <c r="C26" s="299"/>
      <c r="D26" s="299"/>
      <c r="E26" s="299"/>
      <c r="F26" s="299"/>
      <c r="G26" s="299"/>
      <c r="H26" s="299"/>
      <c r="I26" s="299"/>
    </row>
    <row r="27" spans="2:9" hidden="1">
      <c r="B27" s="555" t="s">
        <v>743</v>
      </c>
      <c r="C27" s="299"/>
      <c r="D27" s="299"/>
      <c r="E27" s="299"/>
      <c r="F27" s="299"/>
      <c r="G27" s="299"/>
      <c r="H27" s="299"/>
      <c r="I27" s="299"/>
    </row>
    <row r="28" spans="2:9" hidden="1"/>
  </sheetData>
  <mergeCells count="23">
    <mergeCell ref="H10:H12"/>
    <mergeCell ref="J10:J12"/>
    <mergeCell ref="K10:K12"/>
    <mergeCell ref="O10:O12"/>
    <mergeCell ref="P6:T6"/>
    <mergeCell ref="P10:P12"/>
    <mergeCell ref="Q10:Q12"/>
    <mergeCell ref="R10:R12"/>
    <mergeCell ref="S10:S12"/>
    <mergeCell ref="T10:T12"/>
    <mergeCell ref="B4:D4"/>
    <mergeCell ref="U6:U8"/>
    <mergeCell ref="B6:B8"/>
    <mergeCell ref="C6:C8"/>
    <mergeCell ref="D6:D8"/>
    <mergeCell ref="H6:J6"/>
    <mergeCell ref="K6:O6"/>
    <mergeCell ref="E6:G6"/>
    <mergeCell ref="B17:H17"/>
    <mergeCell ref="B19:B21"/>
    <mergeCell ref="C19:C21"/>
    <mergeCell ref="D19:H19"/>
    <mergeCell ref="I19:I21"/>
  </mergeCells>
  <pageMargins left="0.43307086614173229" right="0.43307086614173229" top="0.43307086614173229" bottom="0.43307086614173229" header="0.31496062992125984" footer="0.31496062992125984"/>
  <pageSetup paperSize="9" scale="65" fitToWidth="2" fitToHeight="2" orientation="landscape" r:id="rId1"/>
  <headerFooter>
    <oddFooter>&amp;CPage. &amp;P</oddFooter>
  </headerFooter>
  <colBreaks count="1" manualBreakCount="1">
    <brk id="12" min="1" max="1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J22"/>
  <sheetViews>
    <sheetView showGridLines="0" view="pageBreakPreview" zoomScale="70" zoomScaleNormal="75" zoomScaleSheetLayoutView="70" workbookViewId="0">
      <selection activeCell="J20" sqref="J20"/>
    </sheetView>
  </sheetViews>
  <sheetFormatPr baseColWidth="10" defaultColWidth="9.1640625" defaultRowHeight="15"/>
  <cols>
    <col min="1" max="1" width="9.1640625" style="76"/>
    <col min="2" max="2" width="39" style="76" customWidth="1"/>
    <col min="3" max="3" width="19.1640625" style="76" customWidth="1"/>
    <col min="4" max="7" width="15.6640625" style="76" customWidth="1"/>
    <col min="8" max="259" width="9.1640625" style="76"/>
    <col min="260" max="260" width="82.6640625" style="76" bestFit="1" customWidth="1"/>
    <col min="261" max="263" width="28.6640625" style="76" customWidth="1"/>
    <col min="264" max="515" width="9.1640625" style="76"/>
    <col min="516" max="516" width="82.6640625" style="76" bestFit="1" customWidth="1"/>
    <col min="517" max="519" width="28.6640625" style="76" customWidth="1"/>
    <col min="520" max="771" width="9.1640625" style="76"/>
    <col min="772" max="772" width="82.6640625" style="76" bestFit="1" customWidth="1"/>
    <col min="773" max="775" width="28.6640625" style="76" customWidth="1"/>
    <col min="776" max="1027" width="9.1640625" style="76"/>
    <col min="1028" max="1028" width="82.6640625" style="76" bestFit="1" customWidth="1"/>
    <col min="1029" max="1031" width="28.6640625" style="76" customWidth="1"/>
    <col min="1032" max="1283" width="9.1640625" style="76"/>
    <col min="1284" max="1284" width="82.6640625" style="76" bestFit="1" customWidth="1"/>
    <col min="1285" max="1287" width="28.6640625" style="76" customWidth="1"/>
    <col min="1288" max="1539" width="9.1640625" style="76"/>
    <col min="1540" max="1540" width="82.6640625" style="76" bestFit="1" customWidth="1"/>
    <col min="1541" max="1543" width="28.6640625" style="76" customWidth="1"/>
    <col min="1544" max="1795" width="9.1640625" style="76"/>
    <col min="1796" max="1796" width="82.6640625" style="76" bestFit="1" customWidth="1"/>
    <col min="1797" max="1799" width="28.6640625" style="76" customWidth="1"/>
    <col min="1800" max="2051" width="9.1640625" style="76"/>
    <col min="2052" max="2052" width="82.6640625" style="76" bestFit="1" customWidth="1"/>
    <col min="2053" max="2055" width="28.6640625" style="76" customWidth="1"/>
    <col min="2056" max="2307" width="9.1640625" style="76"/>
    <col min="2308" max="2308" width="82.6640625" style="76" bestFit="1" customWidth="1"/>
    <col min="2309" max="2311" width="28.6640625" style="76" customWidth="1"/>
    <col min="2312" max="2563" width="9.1640625" style="76"/>
    <col min="2564" max="2564" width="82.6640625" style="76" bestFit="1" customWidth="1"/>
    <col min="2565" max="2567" width="28.6640625" style="76" customWidth="1"/>
    <col min="2568" max="2819" width="9.1640625" style="76"/>
    <col min="2820" max="2820" width="82.6640625" style="76" bestFit="1" customWidth="1"/>
    <col min="2821" max="2823" width="28.6640625" style="76" customWidth="1"/>
    <col min="2824" max="3075" width="9.1640625" style="76"/>
    <col min="3076" max="3076" width="82.6640625" style="76" bestFit="1" customWidth="1"/>
    <col min="3077" max="3079" width="28.6640625" style="76" customWidth="1"/>
    <col min="3080" max="3331" width="9.1640625" style="76"/>
    <col min="3332" max="3332" width="82.6640625" style="76" bestFit="1" customWidth="1"/>
    <col min="3333" max="3335" width="28.6640625" style="76" customWidth="1"/>
    <col min="3336" max="3587" width="9.1640625" style="76"/>
    <col min="3588" max="3588" width="82.6640625" style="76" bestFit="1" customWidth="1"/>
    <col min="3589" max="3591" width="28.6640625" style="76" customWidth="1"/>
    <col min="3592" max="3843" width="9.1640625" style="76"/>
    <col min="3844" max="3844" width="82.6640625" style="76" bestFit="1" customWidth="1"/>
    <col min="3845" max="3847" width="28.6640625" style="76" customWidth="1"/>
    <col min="3848" max="4099" width="9.1640625" style="76"/>
    <col min="4100" max="4100" width="82.6640625" style="76" bestFit="1" customWidth="1"/>
    <col min="4101" max="4103" width="28.6640625" style="76" customWidth="1"/>
    <col min="4104" max="4355" width="9.1640625" style="76"/>
    <col min="4356" max="4356" width="82.6640625" style="76" bestFit="1" customWidth="1"/>
    <col min="4357" max="4359" width="28.6640625" style="76" customWidth="1"/>
    <col min="4360" max="4611" width="9.1640625" style="76"/>
    <col min="4612" max="4612" width="82.6640625" style="76" bestFit="1" customWidth="1"/>
    <col min="4613" max="4615" width="28.6640625" style="76" customWidth="1"/>
    <col min="4616" max="4867" width="9.1640625" style="76"/>
    <col min="4868" max="4868" width="82.6640625" style="76" bestFit="1" customWidth="1"/>
    <col min="4869" max="4871" width="28.6640625" style="76" customWidth="1"/>
    <col min="4872" max="5123" width="9.1640625" style="76"/>
    <col min="5124" max="5124" width="82.6640625" style="76" bestFit="1" customWidth="1"/>
    <col min="5125" max="5127" width="28.6640625" style="76" customWidth="1"/>
    <col min="5128" max="5379" width="9.1640625" style="76"/>
    <col min="5380" max="5380" width="82.6640625" style="76" bestFit="1" customWidth="1"/>
    <col min="5381" max="5383" width="28.6640625" style="76" customWidth="1"/>
    <col min="5384" max="5635" width="9.1640625" style="76"/>
    <col min="5636" max="5636" width="82.6640625" style="76" bestFit="1" customWidth="1"/>
    <col min="5637" max="5639" width="28.6640625" style="76" customWidth="1"/>
    <col min="5640" max="5891" width="9.1640625" style="76"/>
    <col min="5892" max="5892" width="82.6640625" style="76" bestFit="1" customWidth="1"/>
    <col min="5893" max="5895" width="28.6640625" style="76" customWidth="1"/>
    <col min="5896" max="6147" width="9.1640625" style="76"/>
    <col min="6148" max="6148" width="82.6640625" style="76" bestFit="1" customWidth="1"/>
    <col min="6149" max="6151" width="28.6640625" style="76" customWidth="1"/>
    <col min="6152" max="6403" width="9.1640625" style="76"/>
    <col min="6404" max="6404" width="82.6640625" style="76" bestFit="1" customWidth="1"/>
    <col min="6405" max="6407" width="28.6640625" style="76" customWidth="1"/>
    <col min="6408" max="6659" width="9.1640625" style="76"/>
    <col min="6660" max="6660" width="82.6640625" style="76" bestFit="1" customWidth="1"/>
    <col min="6661" max="6663" width="28.6640625" style="76" customWidth="1"/>
    <col min="6664" max="6915" width="9.1640625" style="76"/>
    <col min="6916" max="6916" width="82.6640625" style="76" bestFit="1" customWidth="1"/>
    <col min="6917" max="6919" width="28.6640625" style="76" customWidth="1"/>
    <col min="6920" max="7171" width="9.1640625" style="76"/>
    <col min="7172" max="7172" width="82.6640625" style="76" bestFit="1" customWidth="1"/>
    <col min="7173" max="7175" width="28.6640625" style="76" customWidth="1"/>
    <col min="7176" max="7427" width="9.1640625" style="76"/>
    <col min="7428" max="7428" width="82.6640625" style="76" bestFit="1" customWidth="1"/>
    <col min="7429" max="7431" width="28.6640625" style="76" customWidth="1"/>
    <col min="7432" max="7683" width="9.1640625" style="76"/>
    <col min="7684" max="7684" width="82.6640625" style="76" bestFit="1" customWidth="1"/>
    <col min="7685" max="7687" width="28.6640625" style="76" customWidth="1"/>
    <col min="7688" max="7939" width="9.1640625" style="76"/>
    <col min="7940" max="7940" width="82.6640625" style="76" bestFit="1" customWidth="1"/>
    <col min="7941" max="7943" width="28.6640625" style="76" customWidth="1"/>
    <col min="7944" max="8195" width="9.1640625" style="76"/>
    <col min="8196" max="8196" width="82.6640625" style="76" bestFit="1" customWidth="1"/>
    <col min="8197" max="8199" width="28.6640625" style="76" customWidth="1"/>
    <col min="8200" max="8451" width="9.1640625" style="76"/>
    <col min="8452" max="8452" width="82.6640625" style="76" bestFit="1" customWidth="1"/>
    <col min="8453" max="8455" width="28.6640625" style="76" customWidth="1"/>
    <col min="8456" max="8707" width="9.1640625" style="76"/>
    <col min="8708" max="8708" width="82.6640625" style="76" bestFit="1" customWidth="1"/>
    <col min="8709" max="8711" width="28.6640625" style="76" customWidth="1"/>
    <col min="8712" max="8963" width="9.1640625" style="76"/>
    <col min="8964" max="8964" width="82.6640625" style="76" bestFit="1" customWidth="1"/>
    <col min="8965" max="8967" width="28.6640625" style="76" customWidth="1"/>
    <col min="8968" max="9219" width="9.1640625" style="76"/>
    <col min="9220" max="9220" width="82.6640625" style="76" bestFit="1" customWidth="1"/>
    <col min="9221" max="9223" width="28.6640625" style="76" customWidth="1"/>
    <col min="9224" max="9475" width="9.1640625" style="76"/>
    <col min="9476" max="9476" width="82.6640625" style="76" bestFit="1" customWidth="1"/>
    <col min="9477" max="9479" width="28.6640625" style="76" customWidth="1"/>
    <col min="9480" max="9731" width="9.1640625" style="76"/>
    <col min="9732" max="9732" width="82.6640625" style="76" bestFit="1" customWidth="1"/>
    <col min="9733" max="9735" width="28.6640625" style="76" customWidth="1"/>
    <col min="9736" max="9987" width="9.1640625" style="76"/>
    <col min="9988" max="9988" width="82.6640625" style="76" bestFit="1" customWidth="1"/>
    <col min="9989" max="9991" width="28.6640625" style="76" customWidth="1"/>
    <col min="9992" max="10243" width="9.1640625" style="76"/>
    <col min="10244" max="10244" width="82.6640625" style="76" bestFit="1" customWidth="1"/>
    <col min="10245" max="10247" width="28.6640625" style="76" customWidth="1"/>
    <col min="10248" max="10499" width="9.1640625" style="76"/>
    <col min="10500" max="10500" width="82.6640625" style="76" bestFit="1" customWidth="1"/>
    <col min="10501" max="10503" width="28.6640625" style="76" customWidth="1"/>
    <col min="10504" max="10755" width="9.1640625" style="76"/>
    <col min="10756" max="10756" width="82.6640625" style="76" bestFit="1" customWidth="1"/>
    <col min="10757" max="10759" width="28.6640625" style="76" customWidth="1"/>
    <col min="10760" max="11011" width="9.1640625" style="76"/>
    <col min="11012" max="11012" width="82.6640625" style="76" bestFit="1" customWidth="1"/>
    <col min="11013" max="11015" width="28.6640625" style="76" customWidth="1"/>
    <col min="11016" max="11267" width="9.1640625" style="76"/>
    <col min="11268" max="11268" width="82.6640625" style="76" bestFit="1" customWidth="1"/>
    <col min="11269" max="11271" width="28.6640625" style="76" customWidth="1"/>
    <col min="11272" max="11523" width="9.1640625" style="76"/>
    <col min="11524" max="11524" width="82.6640625" style="76" bestFit="1" customWidth="1"/>
    <col min="11525" max="11527" width="28.6640625" style="76" customWidth="1"/>
    <col min="11528" max="11779" width="9.1640625" style="76"/>
    <col min="11780" max="11780" width="82.6640625" style="76" bestFit="1" customWidth="1"/>
    <col min="11781" max="11783" width="28.6640625" style="76" customWidth="1"/>
    <col min="11784" max="12035" width="9.1640625" style="76"/>
    <col min="12036" max="12036" width="82.6640625" style="76" bestFit="1" customWidth="1"/>
    <col min="12037" max="12039" width="28.6640625" style="76" customWidth="1"/>
    <col min="12040" max="12291" width="9.1640625" style="76"/>
    <col min="12292" max="12292" width="82.6640625" style="76" bestFit="1" customWidth="1"/>
    <col min="12293" max="12295" width="28.6640625" style="76" customWidth="1"/>
    <col min="12296" max="12547" width="9.1640625" style="76"/>
    <col min="12548" max="12548" width="82.6640625" style="76" bestFit="1" customWidth="1"/>
    <col min="12549" max="12551" width="28.6640625" style="76" customWidth="1"/>
    <col min="12552" max="12803" width="9.1640625" style="76"/>
    <col min="12804" max="12804" width="82.6640625" style="76" bestFit="1" customWidth="1"/>
    <col min="12805" max="12807" width="28.6640625" style="76" customWidth="1"/>
    <col min="12808" max="13059" width="9.1640625" style="76"/>
    <col min="13060" max="13060" width="82.6640625" style="76" bestFit="1" customWidth="1"/>
    <col min="13061" max="13063" width="28.6640625" style="76" customWidth="1"/>
    <col min="13064" max="13315" width="9.1640625" style="76"/>
    <col min="13316" max="13316" width="82.6640625" style="76" bestFit="1" customWidth="1"/>
    <col min="13317" max="13319" width="28.6640625" style="76" customWidth="1"/>
    <col min="13320" max="13571" width="9.1640625" style="76"/>
    <col min="13572" max="13572" width="82.6640625" style="76" bestFit="1" customWidth="1"/>
    <col min="13573" max="13575" width="28.6640625" style="76" customWidth="1"/>
    <col min="13576" max="13827" width="9.1640625" style="76"/>
    <col min="13828" max="13828" width="82.6640625" style="76" bestFit="1" customWidth="1"/>
    <col min="13829" max="13831" width="28.6640625" style="76" customWidth="1"/>
    <col min="13832" max="14083" width="9.1640625" style="76"/>
    <col min="14084" max="14084" width="82.6640625" style="76" bestFit="1" customWidth="1"/>
    <col min="14085" max="14087" width="28.6640625" style="76" customWidth="1"/>
    <col min="14088" max="14339" width="9.1640625" style="76"/>
    <col min="14340" max="14340" width="82.6640625" style="76" bestFit="1" customWidth="1"/>
    <col min="14341" max="14343" width="28.6640625" style="76" customWidth="1"/>
    <col min="14344" max="14595" width="9.1640625" style="76"/>
    <col min="14596" max="14596" width="82.6640625" style="76" bestFit="1" customWidth="1"/>
    <col min="14597" max="14599" width="28.6640625" style="76" customWidth="1"/>
    <col min="14600" max="14851" width="9.1640625" style="76"/>
    <col min="14852" max="14852" width="82.6640625" style="76" bestFit="1" customWidth="1"/>
    <col min="14853" max="14855" width="28.6640625" style="76" customWidth="1"/>
    <col min="14856" max="15107" width="9.1640625" style="76"/>
    <col min="15108" max="15108" width="82.6640625" style="76" bestFit="1" customWidth="1"/>
    <col min="15109" max="15111" width="28.6640625" style="76" customWidth="1"/>
    <col min="15112" max="15363" width="9.1640625" style="76"/>
    <col min="15364" max="15364" width="82.6640625" style="76" bestFit="1" customWidth="1"/>
    <col min="15365" max="15367" width="28.6640625" style="76" customWidth="1"/>
    <col min="15368" max="15619" width="9.1640625" style="76"/>
    <col min="15620" max="15620" width="82.6640625" style="76" bestFit="1" customWidth="1"/>
    <col min="15621" max="15623" width="28.6640625" style="76" customWidth="1"/>
    <col min="15624" max="15875" width="9.1640625" style="76"/>
    <col min="15876" max="15876" width="82.6640625" style="76" bestFit="1" customWidth="1"/>
    <col min="15877" max="15879" width="28.6640625" style="76" customWidth="1"/>
    <col min="15880" max="16131" width="9.1640625" style="76"/>
    <col min="16132" max="16132" width="82.6640625" style="76" bestFit="1" customWidth="1"/>
    <col min="16133" max="16135" width="28.6640625" style="76" customWidth="1"/>
    <col min="16136" max="16384" width="9.1640625" style="76"/>
  </cols>
  <sheetData>
    <row r="1" spans="2:10">
      <c r="B1" s="75"/>
    </row>
    <row r="2" spans="2:10">
      <c r="B2" s="1057" t="str">
        <f>Index!B2</f>
        <v>Jaigad Power Transco Ltd</v>
      </c>
      <c r="C2" s="1057"/>
      <c r="D2" s="1057"/>
      <c r="E2" s="1057"/>
      <c r="F2" s="1057"/>
      <c r="G2" s="1057"/>
    </row>
    <row r="3" spans="2:10">
      <c r="B3" s="1184" t="s">
        <v>435</v>
      </c>
      <c r="C3" s="1184"/>
      <c r="D3" s="1184"/>
      <c r="E3" s="1184"/>
      <c r="F3" s="1184"/>
      <c r="G3" s="1184"/>
    </row>
    <row r="4" spans="2:10">
      <c r="B4" s="1208" t="s">
        <v>702</v>
      </c>
      <c r="C4" s="1208"/>
      <c r="D4" s="1208"/>
      <c r="E4" s="1208"/>
      <c r="F4" s="1208"/>
      <c r="G4" s="1208"/>
      <c r="J4" s="77"/>
    </row>
    <row r="5" spans="2:10">
      <c r="G5" s="80" t="s">
        <v>33</v>
      </c>
      <c r="J5" s="78"/>
    </row>
    <row r="6" spans="2:10" s="83" customFormat="1" ht="16">
      <c r="B6" s="81" t="s">
        <v>448</v>
      </c>
      <c r="C6" s="82" t="s">
        <v>540</v>
      </c>
      <c r="D6" s="82" t="s">
        <v>541</v>
      </c>
      <c r="E6" s="82" t="s">
        <v>542</v>
      </c>
      <c r="F6" s="82" t="s">
        <v>543</v>
      </c>
      <c r="G6" s="82" t="s">
        <v>544</v>
      </c>
      <c r="J6" s="79"/>
    </row>
    <row r="7" spans="2:10">
      <c r="B7" s="84"/>
      <c r="C7" s="84"/>
      <c r="D7" s="84"/>
      <c r="E7" s="84"/>
      <c r="F7" s="84"/>
      <c r="G7" s="84"/>
    </row>
    <row r="8" spans="2:10" ht="16">
      <c r="B8" s="85" t="s">
        <v>449</v>
      </c>
      <c r="C8" s="86"/>
      <c r="D8" s="86"/>
      <c r="E8" s="86"/>
      <c r="F8" s="86"/>
      <c r="G8" s="86"/>
    </row>
    <row r="9" spans="2:10">
      <c r="B9" s="87"/>
      <c r="C9" s="86"/>
      <c r="D9" s="86"/>
      <c r="E9" s="86"/>
      <c r="F9" s="86"/>
      <c r="G9" s="86"/>
    </row>
    <row r="10" spans="2:10">
      <c r="B10" s="87" t="s">
        <v>450</v>
      </c>
      <c r="C10" s="86"/>
      <c r="D10" s="86"/>
      <c r="E10" s="86"/>
      <c r="F10" s="86"/>
      <c r="G10" s="86"/>
    </row>
    <row r="11" spans="2:10" ht="16">
      <c r="B11" s="85" t="s">
        <v>375</v>
      </c>
      <c r="C11" s="86"/>
      <c r="D11" s="86"/>
      <c r="E11" s="86"/>
      <c r="F11" s="86"/>
      <c r="G11" s="86"/>
    </row>
    <row r="12" spans="2:10" ht="16">
      <c r="B12" s="85" t="s">
        <v>376</v>
      </c>
      <c r="C12" s="86"/>
      <c r="D12" s="86"/>
      <c r="E12" s="86"/>
      <c r="F12" s="86"/>
      <c r="G12" s="86"/>
    </row>
    <row r="13" spans="2:10" ht="16">
      <c r="B13" s="85" t="s">
        <v>244</v>
      </c>
      <c r="C13" s="86"/>
      <c r="D13" s="86"/>
      <c r="E13" s="86"/>
      <c r="F13" s="86"/>
      <c r="G13" s="86"/>
    </row>
    <row r="14" spans="2:10">
      <c r="B14" s="88" t="s">
        <v>416</v>
      </c>
      <c r="C14" s="89"/>
      <c r="D14" s="89"/>
      <c r="E14" s="89"/>
      <c r="F14" s="89"/>
      <c r="G14" s="89"/>
    </row>
    <row r="15" spans="2:10">
      <c r="B15" s="84"/>
      <c r="C15" s="86"/>
      <c r="D15" s="86"/>
      <c r="E15" s="86"/>
      <c r="F15" s="86"/>
      <c r="G15" s="86"/>
    </row>
    <row r="16" spans="2:10" ht="16">
      <c r="B16" s="90" t="s">
        <v>16</v>
      </c>
      <c r="C16" s="86"/>
      <c r="D16" s="86"/>
      <c r="E16" s="86"/>
      <c r="F16" s="86"/>
      <c r="G16" s="86"/>
    </row>
    <row r="17" spans="2:7">
      <c r="B17" s="88" t="s">
        <v>451</v>
      </c>
      <c r="C17" s="86"/>
      <c r="D17" s="86"/>
      <c r="E17" s="86"/>
      <c r="F17" s="86"/>
      <c r="G17" s="86"/>
    </row>
    <row r="18" spans="2:7">
      <c r="B18" s="88" t="s">
        <v>452</v>
      </c>
      <c r="C18" s="86"/>
      <c r="D18" s="86"/>
      <c r="E18" s="86"/>
      <c r="F18" s="86"/>
      <c r="G18" s="86"/>
    </row>
    <row r="19" spans="2:7">
      <c r="B19" s="84"/>
      <c r="C19" s="86"/>
      <c r="D19" s="86"/>
      <c r="E19" s="86"/>
      <c r="F19" s="86"/>
      <c r="G19" s="86"/>
    </row>
    <row r="20" spans="2:7">
      <c r="B20" s="88" t="s">
        <v>23</v>
      </c>
      <c r="C20" s="86"/>
      <c r="D20" s="86"/>
      <c r="E20" s="86"/>
      <c r="F20" s="86"/>
      <c r="G20" s="86"/>
    </row>
    <row r="21" spans="2:7">
      <c r="B21" s="91"/>
      <c r="C21" s="92"/>
      <c r="D21" s="92"/>
      <c r="E21" s="92"/>
      <c r="F21" s="93"/>
      <c r="G21" s="94"/>
    </row>
    <row r="22" spans="2:7">
      <c r="B22" s="73" t="s">
        <v>712</v>
      </c>
    </row>
  </sheetData>
  <mergeCells count="3">
    <mergeCell ref="B2:G2"/>
    <mergeCell ref="B3:G3"/>
    <mergeCell ref="B4:G4"/>
  </mergeCells>
  <printOptions horizontalCentered="1" verticalCentered="1"/>
  <pageMargins left="1.1811023622047245" right="0.39370078740157483" top="0.74803149606299213" bottom="1.1811023622047245" header="0.31496062992125984" footer="0.31496062992125984"/>
  <pageSetup paperSize="9" scale="9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Z55"/>
  <sheetViews>
    <sheetView view="pageBreakPreview" zoomScale="70" zoomScaleSheetLayoutView="70" workbookViewId="0">
      <pane ySplit="7" topLeftCell="A8" activePane="bottomLeft" state="frozen"/>
      <selection activeCell="G76" sqref="G76"/>
      <selection pane="bottomLeft" activeCell="K8" sqref="K8"/>
    </sheetView>
  </sheetViews>
  <sheetFormatPr baseColWidth="10" defaultColWidth="9.1640625" defaultRowHeight="15"/>
  <cols>
    <col min="1" max="1" width="2.83203125" style="47" customWidth="1"/>
    <col min="2" max="2" width="9.6640625" style="47" customWidth="1"/>
    <col min="3" max="3" width="36.33203125" style="47" customWidth="1"/>
    <col min="4" max="20" width="9.1640625" style="47" customWidth="1"/>
    <col min="21" max="23" width="9.1640625" style="47"/>
    <col min="24" max="24" width="11.33203125" style="47" customWidth="1"/>
    <col min="25" max="25" width="10.33203125" style="47" customWidth="1"/>
    <col min="26" max="233" width="9.1640625" style="47"/>
    <col min="234" max="234" width="2.83203125" style="47" customWidth="1"/>
    <col min="235" max="235" width="13.1640625" style="47" customWidth="1"/>
    <col min="236" max="236" width="60.33203125" style="47" customWidth="1"/>
    <col min="237" max="241" width="10.83203125" style="47" bestFit="1" customWidth="1"/>
    <col min="242" max="242" width="11.83203125" style="47" bestFit="1" customWidth="1"/>
    <col min="243" max="243" width="14.33203125" style="47" bestFit="1" customWidth="1"/>
    <col min="244" max="247" width="17.5" style="47" bestFit="1" customWidth="1"/>
    <col min="248" max="254" width="21" style="47" bestFit="1" customWidth="1"/>
    <col min="255" max="262" width="21.1640625" style="47" bestFit="1" customWidth="1"/>
    <col min="263" max="263" width="22.6640625" style="47" customWidth="1"/>
    <col min="264" max="264" width="22" style="47" customWidth="1"/>
    <col min="265" max="265" width="22.6640625" style="47" customWidth="1"/>
    <col min="266" max="271" width="21.1640625" style="47" bestFit="1" customWidth="1"/>
    <col min="272" max="272" width="19.5" style="47" customWidth="1"/>
    <col min="273" max="273" width="21.1640625" style="47" bestFit="1" customWidth="1"/>
    <col min="274" max="274" width="22.6640625" style="47" customWidth="1"/>
    <col min="275" max="275" width="22" style="47" customWidth="1"/>
    <col min="276" max="276" width="23.5" style="47" bestFit="1" customWidth="1"/>
    <col min="277" max="279" width="9.1640625" style="47"/>
    <col min="280" max="280" width="11.33203125" style="47" customWidth="1"/>
    <col min="281" max="281" width="10.33203125" style="47" customWidth="1"/>
    <col min="282" max="489" width="9.1640625" style="47"/>
    <col min="490" max="490" width="2.83203125" style="47" customWidth="1"/>
    <col min="491" max="491" width="13.1640625" style="47" customWidth="1"/>
    <col min="492" max="492" width="60.33203125" style="47" customWidth="1"/>
    <col min="493" max="497" width="10.83203125" style="47" bestFit="1" customWidth="1"/>
    <col min="498" max="498" width="11.83203125" style="47" bestFit="1" customWidth="1"/>
    <col min="499" max="499" width="14.33203125" style="47" bestFit="1" customWidth="1"/>
    <col min="500" max="503" width="17.5" style="47" bestFit="1" customWidth="1"/>
    <col min="504" max="510" width="21" style="47" bestFit="1" customWidth="1"/>
    <col min="511" max="518" width="21.1640625" style="47" bestFit="1" customWidth="1"/>
    <col min="519" max="519" width="22.6640625" style="47" customWidth="1"/>
    <col min="520" max="520" width="22" style="47" customWidth="1"/>
    <col min="521" max="521" width="22.6640625" style="47" customWidth="1"/>
    <col min="522" max="527" width="21.1640625" style="47" bestFit="1" customWidth="1"/>
    <col min="528" max="528" width="19.5" style="47" customWidth="1"/>
    <col min="529" max="529" width="21.1640625" style="47" bestFit="1" customWidth="1"/>
    <col min="530" max="530" width="22.6640625" style="47" customWidth="1"/>
    <col min="531" max="531" width="22" style="47" customWidth="1"/>
    <col min="532" max="532" width="23.5" style="47" bestFit="1" customWidth="1"/>
    <col min="533" max="535" width="9.1640625" style="47"/>
    <col min="536" max="536" width="11.33203125" style="47" customWidth="1"/>
    <col min="537" max="537" width="10.33203125" style="47" customWidth="1"/>
    <col min="538" max="745" width="9.1640625" style="47"/>
    <col min="746" max="746" width="2.83203125" style="47" customWidth="1"/>
    <col min="747" max="747" width="13.1640625" style="47" customWidth="1"/>
    <col min="748" max="748" width="60.33203125" style="47" customWidth="1"/>
    <col min="749" max="753" width="10.83203125" style="47" bestFit="1" customWidth="1"/>
    <col min="754" max="754" width="11.83203125" style="47" bestFit="1" customWidth="1"/>
    <col min="755" max="755" width="14.33203125" style="47" bestFit="1" customWidth="1"/>
    <col min="756" max="759" width="17.5" style="47" bestFit="1" customWidth="1"/>
    <col min="760" max="766" width="21" style="47" bestFit="1" customWidth="1"/>
    <col min="767" max="774" width="21.1640625" style="47" bestFit="1" customWidth="1"/>
    <col min="775" max="775" width="22.6640625" style="47" customWidth="1"/>
    <col min="776" max="776" width="22" style="47" customWidth="1"/>
    <col min="777" max="777" width="22.6640625" style="47" customWidth="1"/>
    <col min="778" max="783" width="21.1640625" style="47" bestFit="1" customWidth="1"/>
    <col min="784" max="784" width="19.5" style="47" customWidth="1"/>
    <col min="785" max="785" width="21.1640625" style="47" bestFit="1" customWidth="1"/>
    <col min="786" max="786" width="22.6640625" style="47" customWidth="1"/>
    <col min="787" max="787" width="22" style="47" customWidth="1"/>
    <col min="788" max="788" width="23.5" style="47" bestFit="1" customWidth="1"/>
    <col min="789" max="791" width="9.1640625" style="47"/>
    <col min="792" max="792" width="11.33203125" style="47" customWidth="1"/>
    <col min="793" max="793" width="10.33203125" style="47" customWidth="1"/>
    <col min="794" max="1001" width="9.1640625" style="47"/>
    <col min="1002" max="1002" width="2.83203125" style="47" customWidth="1"/>
    <col min="1003" max="1003" width="13.1640625" style="47" customWidth="1"/>
    <col min="1004" max="1004" width="60.33203125" style="47" customWidth="1"/>
    <col min="1005" max="1009" width="10.83203125" style="47" bestFit="1" customWidth="1"/>
    <col min="1010" max="1010" width="11.83203125" style="47" bestFit="1" customWidth="1"/>
    <col min="1011" max="1011" width="14.33203125" style="47" bestFit="1" customWidth="1"/>
    <col min="1012" max="1015" width="17.5" style="47" bestFit="1" customWidth="1"/>
    <col min="1016" max="1022" width="21" style="47" bestFit="1" customWidth="1"/>
    <col min="1023" max="1030" width="21.1640625" style="47" bestFit="1" customWidth="1"/>
    <col min="1031" max="1031" width="22.6640625" style="47" customWidth="1"/>
    <col min="1032" max="1032" width="22" style="47" customWidth="1"/>
    <col min="1033" max="1033" width="22.6640625" style="47" customWidth="1"/>
    <col min="1034" max="1039" width="21.1640625" style="47" bestFit="1" customWidth="1"/>
    <col min="1040" max="1040" width="19.5" style="47" customWidth="1"/>
    <col min="1041" max="1041" width="21.1640625" style="47" bestFit="1" customWidth="1"/>
    <col min="1042" max="1042" width="22.6640625" style="47" customWidth="1"/>
    <col min="1043" max="1043" width="22" style="47" customWidth="1"/>
    <col min="1044" max="1044" width="23.5" style="47" bestFit="1" customWidth="1"/>
    <col min="1045" max="1047" width="9.1640625" style="47"/>
    <col min="1048" max="1048" width="11.33203125" style="47" customWidth="1"/>
    <col min="1049" max="1049" width="10.33203125" style="47" customWidth="1"/>
    <col min="1050" max="1257" width="9.1640625" style="47"/>
    <col min="1258" max="1258" width="2.83203125" style="47" customWidth="1"/>
    <col min="1259" max="1259" width="13.1640625" style="47" customWidth="1"/>
    <col min="1260" max="1260" width="60.33203125" style="47" customWidth="1"/>
    <col min="1261" max="1265" width="10.83203125" style="47" bestFit="1" customWidth="1"/>
    <col min="1266" max="1266" width="11.83203125" style="47" bestFit="1" customWidth="1"/>
    <col min="1267" max="1267" width="14.33203125" style="47" bestFit="1" customWidth="1"/>
    <col min="1268" max="1271" width="17.5" style="47" bestFit="1" customWidth="1"/>
    <col min="1272" max="1278" width="21" style="47" bestFit="1" customWidth="1"/>
    <col min="1279" max="1286" width="21.1640625" style="47" bestFit="1" customWidth="1"/>
    <col min="1287" max="1287" width="22.6640625" style="47" customWidth="1"/>
    <col min="1288" max="1288" width="22" style="47" customWidth="1"/>
    <col min="1289" max="1289" width="22.6640625" style="47" customWidth="1"/>
    <col min="1290" max="1295" width="21.1640625" style="47" bestFit="1" customWidth="1"/>
    <col min="1296" max="1296" width="19.5" style="47" customWidth="1"/>
    <col min="1297" max="1297" width="21.1640625" style="47" bestFit="1" customWidth="1"/>
    <col min="1298" max="1298" width="22.6640625" style="47" customWidth="1"/>
    <col min="1299" max="1299" width="22" style="47" customWidth="1"/>
    <col min="1300" max="1300" width="23.5" style="47" bestFit="1" customWidth="1"/>
    <col min="1301" max="1303" width="9.1640625" style="47"/>
    <col min="1304" max="1304" width="11.33203125" style="47" customWidth="1"/>
    <col min="1305" max="1305" width="10.33203125" style="47" customWidth="1"/>
    <col min="1306" max="1513" width="9.1640625" style="47"/>
    <col min="1514" max="1514" width="2.83203125" style="47" customWidth="1"/>
    <col min="1515" max="1515" width="13.1640625" style="47" customWidth="1"/>
    <col min="1516" max="1516" width="60.33203125" style="47" customWidth="1"/>
    <col min="1517" max="1521" width="10.83203125" style="47" bestFit="1" customWidth="1"/>
    <col min="1522" max="1522" width="11.83203125" style="47" bestFit="1" customWidth="1"/>
    <col min="1523" max="1523" width="14.33203125" style="47" bestFit="1" customWidth="1"/>
    <col min="1524" max="1527" width="17.5" style="47" bestFit="1" customWidth="1"/>
    <col min="1528" max="1534" width="21" style="47" bestFit="1" customWidth="1"/>
    <col min="1535" max="1542" width="21.1640625" style="47" bestFit="1" customWidth="1"/>
    <col min="1543" max="1543" width="22.6640625" style="47" customWidth="1"/>
    <col min="1544" max="1544" width="22" style="47" customWidth="1"/>
    <col min="1545" max="1545" width="22.6640625" style="47" customWidth="1"/>
    <col min="1546" max="1551" width="21.1640625" style="47" bestFit="1" customWidth="1"/>
    <col min="1552" max="1552" width="19.5" style="47" customWidth="1"/>
    <col min="1553" max="1553" width="21.1640625" style="47" bestFit="1" customWidth="1"/>
    <col min="1554" max="1554" width="22.6640625" style="47" customWidth="1"/>
    <col min="1555" max="1555" width="22" style="47" customWidth="1"/>
    <col min="1556" max="1556" width="23.5" style="47" bestFit="1" customWidth="1"/>
    <col min="1557" max="1559" width="9.1640625" style="47"/>
    <col min="1560" max="1560" width="11.33203125" style="47" customWidth="1"/>
    <col min="1561" max="1561" width="10.33203125" style="47" customWidth="1"/>
    <col min="1562" max="1769" width="9.1640625" style="47"/>
    <col min="1770" max="1770" width="2.83203125" style="47" customWidth="1"/>
    <col min="1771" max="1771" width="13.1640625" style="47" customWidth="1"/>
    <col min="1772" max="1772" width="60.33203125" style="47" customWidth="1"/>
    <col min="1773" max="1777" width="10.83203125" style="47" bestFit="1" customWidth="1"/>
    <col min="1778" max="1778" width="11.83203125" style="47" bestFit="1" customWidth="1"/>
    <col min="1779" max="1779" width="14.33203125" style="47" bestFit="1" customWidth="1"/>
    <col min="1780" max="1783" width="17.5" style="47" bestFit="1" customWidth="1"/>
    <col min="1784" max="1790" width="21" style="47" bestFit="1" customWidth="1"/>
    <col min="1791" max="1798" width="21.1640625" style="47" bestFit="1" customWidth="1"/>
    <col min="1799" max="1799" width="22.6640625" style="47" customWidth="1"/>
    <col min="1800" max="1800" width="22" style="47" customWidth="1"/>
    <col min="1801" max="1801" width="22.6640625" style="47" customWidth="1"/>
    <col min="1802" max="1807" width="21.1640625" style="47" bestFit="1" customWidth="1"/>
    <col min="1808" max="1808" width="19.5" style="47" customWidth="1"/>
    <col min="1809" max="1809" width="21.1640625" style="47" bestFit="1" customWidth="1"/>
    <col min="1810" max="1810" width="22.6640625" style="47" customWidth="1"/>
    <col min="1811" max="1811" width="22" style="47" customWidth="1"/>
    <col min="1812" max="1812" width="23.5" style="47" bestFit="1" customWidth="1"/>
    <col min="1813" max="1815" width="9.1640625" style="47"/>
    <col min="1816" max="1816" width="11.33203125" style="47" customWidth="1"/>
    <col min="1817" max="1817" width="10.33203125" style="47" customWidth="1"/>
    <col min="1818" max="2025" width="9.1640625" style="47"/>
    <col min="2026" max="2026" width="2.83203125" style="47" customWidth="1"/>
    <col min="2027" max="2027" width="13.1640625" style="47" customWidth="1"/>
    <col min="2028" max="2028" width="60.33203125" style="47" customWidth="1"/>
    <col min="2029" max="2033" width="10.83203125" style="47" bestFit="1" customWidth="1"/>
    <col min="2034" max="2034" width="11.83203125" style="47" bestFit="1" customWidth="1"/>
    <col min="2035" max="2035" width="14.33203125" style="47" bestFit="1" customWidth="1"/>
    <col min="2036" max="2039" width="17.5" style="47" bestFit="1" customWidth="1"/>
    <col min="2040" max="2046" width="21" style="47" bestFit="1" customWidth="1"/>
    <col min="2047" max="2054" width="21.1640625" style="47" bestFit="1" customWidth="1"/>
    <col min="2055" max="2055" width="22.6640625" style="47" customWidth="1"/>
    <col min="2056" max="2056" width="22" style="47" customWidth="1"/>
    <col min="2057" max="2057" width="22.6640625" style="47" customWidth="1"/>
    <col min="2058" max="2063" width="21.1640625" style="47" bestFit="1" customWidth="1"/>
    <col min="2064" max="2064" width="19.5" style="47" customWidth="1"/>
    <col min="2065" max="2065" width="21.1640625" style="47" bestFit="1" customWidth="1"/>
    <col min="2066" max="2066" width="22.6640625" style="47" customWidth="1"/>
    <col min="2067" max="2067" width="22" style="47" customWidth="1"/>
    <col min="2068" max="2068" width="23.5" style="47" bestFit="1" customWidth="1"/>
    <col min="2069" max="2071" width="9.1640625" style="47"/>
    <col min="2072" max="2072" width="11.33203125" style="47" customWidth="1"/>
    <col min="2073" max="2073" width="10.33203125" style="47" customWidth="1"/>
    <col min="2074" max="2281" width="9.1640625" style="47"/>
    <col min="2282" max="2282" width="2.83203125" style="47" customWidth="1"/>
    <col min="2283" max="2283" width="13.1640625" style="47" customWidth="1"/>
    <col min="2284" max="2284" width="60.33203125" style="47" customWidth="1"/>
    <col min="2285" max="2289" width="10.83203125" style="47" bestFit="1" customWidth="1"/>
    <col min="2290" max="2290" width="11.83203125" style="47" bestFit="1" customWidth="1"/>
    <col min="2291" max="2291" width="14.33203125" style="47" bestFit="1" customWidth="1"/>
    <col min="2292" max="2295" width="17.5" style="47" bestFit="1" customWidth="1"/>
    <col min="2296" max="2302" width="21" style="47" bestFit="1" customWidth="1"/>
    <col min="2303" max="2310" width="21.1640625" style="47" bestFit="1" customWidth="1"/>
    <col min="2311" max="2311" width="22.6640625" style="47" customWidth="1"/>
    <col min="2312" max="2312" width="22" style="47" customWidth="1"/>
    <col min="2313" max="2313" width="22.6640625" style="47" customWidth="1"/>
    <col min="2314" max="2319" width="21.1640625" style="47" bestFit="1" customWidth="1"/>
    <col min="2320" max="2320" width="19.5" style="47" customWidth="1"/>
    <col min="2321" max="2321" width="21.1640625" style="47" bestFit="1" customWidth="1"/>
    <col min="2322" max="2322" width="22.6640625" style="47" customWidth="1"/>
    <col min="2323" max="2323" width="22" style="47" customWidth="1"/>
    <col min="2324" max="2324" width="23.5" style="47" bestFit="1" customWidth="1"/>
    <col min="2325" max="2327" width="9.1640625" style="47"/>
    <col min="2328" max="2328" width="11.33203125" style="47" customWidth="1"/>
    <col min="2329" max="2329" width="10.33203125" style="47" customWidth="1"/>
    <col min="2330" max="2537" width="9.1640625" style="47"/>
    <col min="2538" max="2538" width="2.83203125" style="47" customWidth="1"/>
    <col min="2539" max="2539" width="13.1640625" style="47" customWidth="1"/>
    <col min="2540" max="2540" width="60.33203125" style="47" customWidth="1"/>
    <col min="2541" max="2545" width="10.83203125" style="47" bestFit="1" customWidth="1"/>
    <col min="2546" max="2546" width="11.83203125" style="47" bestFit="1" customWidth="1"/>
    <col min="2547" max="2547" width="14.33203125" style="47" bestFit="1" customWidth="1"/>
    <col min="2548" max="2551" width="17.5" style="47" bestFit="1" customWidth="1"/>
    <col min="2552" max="2558" width="21" style="47" bestFit="1" customWidth="1"/>
    <col min="2559" max="2566" width="21.1640625" style="47" bestFit="1" customWidth="1"/>
    <col min="2567" max="2567" width="22.6640625" style="47" customWidth="1"/>
    <col min="2568" max="2568" width="22" style="47" customWidth="1"/>
    <col min="2569" max="2569" width="22.6640625" style="47" customWidth="1"/>
    <col min="2570" max="2575" width="21.1640625" style="47" bestFit="1" customWidth="1"/>
    <col min="2576" max="2576" width="19.5" style="47" customWidth="1"/>
    <col min="2577" max="2577" width="21.1640625" style="47" bestFit="1" customWidth="1"/>
    <col min="2578" max="2578" width="22.6640625" style="47" customWidth="1"/>
    <col min="2579" max="2579" width="22" style="47" customWidth="1"/>
    <col min="2580" max="2580" width="23.5" style="47" bestFit="1" customWidth="1"/>
    <col min="2581" max="2583" width="9.1640625" style="47"/>
    <col min="2584" max="2584" width="11.33203125" style="47" customWidth="1"/>
    <col min="2585" max="2585" width="10.33203125" style="47" customWidth="1"/>
    <col min="2586" max="2793" width="9.1640625" style="47"/>
    <col min="2794" max="2794" width="2.83203125" style="47" customWidth="1"/>
    <col min="2795" max="2795" width="13.1640625" style="47" customWidth="1"/>
    <col min="2796" max="2796" width="60.33203125" style="47" customWidth="1"/>
    <col min="2797" max="2801" width="10.83203125" style="47" bestFit="1" customWidth="1"/>
    <col min="2802" max="2802" width="11.83203125" style="47" bestFit="1" customWidth="1"/>
    <col min="2803" max="2803" width="14.33203125" style="47" bestFit="1" customWidth="1"/>
    <col min="2804" max="2807" width="17.5" style="47" bestFit="1" customWidth="1"/>
    <col min="2808" max="2814" width="21" style="47" bestFit="1" customWidth="1"/>
    <col min="2815" max="2822" width="21.1640625" style="47" bestFit="1" customWidth="1"/>
    <col min="2823" max="2823" width="22.6640625" style="47" customWidth="1"/>
    <col min="2824" max="2824" width="22" style="47" customWidth="1"/>
    <col min="2825" max="2825" width="22.6640625" style="47" customWidth="1"/>
    <col min="2826" max="2831" width="21.1640625" style="47" bestFit="1" customWidth="1"/>
    <col min="2832" max="2832" width="19.5" style="47" customWidth="1"/>
    <col min="2833" max="2833" width="21.1640625" style="47" bestFit="1" customWidth="1"/>
    <col min="2834" max="2834" width="22.6640625" style="47" customWidth="1"/>
    <col min="2835" max="2835" width="22" style="47" customWidth="1"/>
    <col min="2836" max="2836" width="23.5" style="47" bestFit="1" customWidth="1"/>
    <col min="2837" max="2839" width="9.1640625" style="47"/>
    <col min="2840" max="2840" width="11.33203125" style="47" customWidth="1"/>
    <col min="2841" max="2841" width="10.33203125" style="47" customWidth="1"/>
    <col min="2842" max="3049" width="9.1640625" style="47"/>
    <col min="3050" max="3050" width="2.83203125" style="47" customWidth="1"/>
    <col min="3051" max="3051" width="13.1640625" style="47" customWidth="1"/>
    <col min="3052" max="3052" width="60.33203125" style="47" customWidth="1"/>
    <col min="3053" max="3057" width="10.83203125" style="47" bestFit="1" customWidth="1"/>
    <col min="3058" max="3058" width="11.83203125" style="47" bestFit="1" customWidth="1"/>
    <col min="3059" max="3059" width="14.33203125" style="47" bestFit="1" customWidth="1"/>
    <col min="3060" max="3063" width="17.5" style="47" bestFit="1" customWidth="1"/>
    <col min="3064" max="3070" width="21" style="47" bestFit="1" customWidth="1"/>
    <col min="3071" max="3078" width="21.1640625" style="47" bestFit="1" customWidth="1"/>
    <col min="3079" max="3079" width="22.6640625" style="47" customWidth="1"/>
    <col min="3080" max="3080" width="22" style="47" customWidth="1"/>
    <col min="3081" max="3081" width="22.6640625" style="47" customWidth="1"/>
    <col min="3082" max="3087" width="21.1640625" style="47" bestFit="1" customWidth="1"/>
    <col min="3088" max="3088" width="19.5" style="47" customWidth="1"/>
    <col min="3089" max="3089" width="21.1640625" style="47" bestFit="1" customWidth="1"/>
    <col min="3090" max="3090" width="22.6640625" style="47" customWidth="1"/>
    <col min="3091" max="3091" width="22" style="47" customWidth="1"/>
    <col min="3092" max="3092" width="23.5" style="47" bestFit="1" customWidth="1"/>
    <col min="3093" max="3095" width="9.1640625" style="47"/>
    <col min="3096" max="3096" width="11.33203125" style="47" customWidth="1"/>
    <col min="3097" max="3097" width="10.33203125" style="47" customWidth="1"/>
    <col min="3098" max="3305" width="9.1640625" style="47"/>
    <col min="3306" max="3306" width="2.83203125" style="47" customWidth="1"/>
    <col min="3307" max="3307" width="13.1640625" style="47" customWidth="1"/>
    <col min="3308" max="3308" width="60.33203125" style="47" customWidth="1"/>
    <col min="3309" max="3313" width="10.83203125" style="47" bestFit="1" customWidth="1"/>
    <col min="3314" max="3314" width="11.83203125" style="47" bestFit="1" customWidth="1"/>
    <col min="3315" max="3315" width="14.33203125" style="47" bestFit="1" customWidth="1"/>
    <col min="3316" max="3319" width="17.5" style="47" bestFit="1" customWidth="1"/>
    <col min="3320" max="3326" width="21" style="47" bestFit="1" customWidth="1"/>
    <col min="3327" max="3334" width="21.1640625" style="47" bestFit="1" customWidth="1"/>
    <col min="3335" max="3335" width="22.6640625" style="47" customWidth="1"/>
    <col min="3336" max="3336" width="22" style="47" customWidth="1"/>
    <col min="3337" max="3337" width="22.6640625" style="47" customWidth="1"/>
    <col min="3338" max="3343" width="21.1640625" style="47" bestFit="1" customWidth="1"/>
    <col min="3344" max="3344" width="19.5" style="47" customWidth="1"/>
    <col min="3345" max="3345" width="21.1640625" style="47" bestFit="1" customWidth="1"/>
    <col min="3346" max="3346" width="22.6640625" style="47" customWidth="1"/>
    <col min="3347" max="3347" width="22" style="47" customWidth="1"/>
    <col min="3348" max="3348" width="23.5" style="47" bestFit="1" customWidth="1"/>
    <col min="3349" max="3351" width="9.1640625" style="47"/>
    <col min="3352" max="3352" width="11.33203125" style="47" customWidth="1"/>
    <col min="3353" max="3353" width="10.33203125" style="47" customWidth="1"/>
    <col min="3354" max="3561" width="9.1640625" style="47"/>
    <col min="3562" max="3562" width="2.83203125" style="47" customWidth="1"/>
    <col min="3563" max="3563" width="13.1640625" style="47" customWidth="1"/>
    <col min="3564" max="3564" width="60.33203125" style="47" customWidth="1"/>
    <col min="3565" max="3569" width="10.83203125" style="47" bestFit="1" customWidth="1"/>
    <col min="3570" max="3570" width="11.83203125" style="47" bestFit="1" customWidth="1"/>
    <col min="3571" max="3571" width="14.33203125" style="47" bestFit="1" customWidth="1"/>
    <col min="3572" max="3575" width="17.5" style="47" bestFit="1" customWidth="1"/>
    <col min="3576" max="3582" width="21" style="47" bestFit="1" customWidth="1"/>
    <col min="3583" max="3590" width="21.1640625" style="47" bestFit="1" customWidth="1"/>
    <col min="3591" max="3591" width="22.6640625" style="47" customWidth="1"/>
    <col min="3592" max="3592" width="22" style="47" customWidth="1"/>
    <col min="3593" max="3593" width="22.6640625" style="47" customWidth="1"/>
    <col min="3594" max="3599" width="21.1640625" style="47" bestFit="1" customWidth="1"/>
    <col min="3600" max="3600" width="19.5" style="47" customWidth="1"/>
    <col min="3601" max="3601" width="21.1640625" style="47" bestFit="1" customWidth="1"/>
    <col min="3602" max="3602" width="22.6640625" style="47" customWidth="1"/>
    <col min="3603" max="3603" width="22" style="47" customWidth="1"/>
    <col min="3604" max="3604" width="23.5" style="47" bestFit="1" customWidth="1"/>
    <col min="3605" max="3607" width="9.1640625" style="47"/>
    <col min="3608" max="3608" width="11.33203125" style="47" customWidth="1"/>
    <col min="3609" max="3609" width="10.33203125" style="47" customWidth="1"/>
    <col min="3610" max="3817" width="9.1640625" style="47"/>
    <col min="3818" max="3818" width="2.83203125" style="47" customWidth="1"/>
    <col min="3819" max="3819" width="13.1640625" style="47" customWidth="1"/>
    <col min="3820" max="3820" width="60.33203125" style="47" customWidth="1"/>
    <col min="3821" max="3825" width="10.83203125" style="47" bestFit="1" customWidth="1"/>
    <col min="3826" max="3826" width="11.83203125" style="47" bestFit="1" customWidth="1"/>
    <col min="3827" max="3827" width="14.33203125" style="47" bestFit="1" customWidth="1"/>
    <col min="3828" max="3831" width="17.5" style="47" bestFit="1" customWidth="1"/>
    <col min="3832" max="3838" width="21" style="47" bestFit="1" customWidth="1"/>
    <col min="3839" max="3846" width="21.1640625" style="47" bestFit="1" customWidth="1"/>
    <col min="3847" max="3847" width="22.6640625" style="47" customWidth="1"/>
    <col min="3848" max="3848" width="22" style="47" customWidth="1"/>
    <col min="3849" max="3849" width="22.6640625" style="47" customWidth="1"/>
    <col min="3850" max="3855" width="21.1640625" style="47" bestFit="1" customWidth="1"/>
    <col min="3856" max="3856" width="19.5" style="47" customWidth="1"/>
    <col min="3857" max="3857" width="21.1640625" style="47" bestFit="1" customWidth="1"/>
    <col min="3858" max="3858" width="22.6640625" style="47" customWidth="1"/>
    <col min="3859" max="3859" width="22" style="47" customWidth="1"/>
    <col min="3860" max="3860" width="23.5" style="47" bestFit="1" customWidth="1"/>
    <col min="3861" max="3863" width="9.1640625" style="47"/>
    <col min="3864" max="3864" width="11.33203125" style="47" customWidth="1"/>
    <col min="3865" max="3865" width="10.33203125" style="47" customWidth="1"/>
    <col min="3866" max="4073" width="9.1640625" style="47"/>
    <col min="4074" max="4074" width="2.83203125" style="47" customWidth="1"/>
    <col min="4075" max="4075" width="13.1640625" style="47" customWidth="1"/>
    <col min="4076" max="4076" width="60.33203125" style="47" customWidth="1"/>
    <col min="4077" max="4081" width="10.83203125" style="47" bestFit="1" customWidth="1"/>
    <col min="4082" max="4082" width="11.83203125" style="47" bestFit="1" customWidth="1"/>
    <col min="4083" max="4083" width="14.33203125" style="47" bestFit="1" customWidth="1"/>
    <col min="4084" max="4087" width="17.5" style="47" bestFit="1" customWidth="1"/>
    <col min="4088" max="4094" width="21" style="47" bestFit="1" customWidth="1"/>
    <col min="4095" max="4102" width="21.1640625" style="47" bestFit="1" customWidth="1"/>
    <col min="4103" max="4103" width="22.6640625" style="47" customWidth="1"/>
    <col min="4104" max="4104" width="22" style="47" customWidth="1"/>
    <col min="4105" max="4105" width="22.6640625" style="47" customWidth="1"/>
    <col min="4106" max="4111" width="21.1640625" style="47" bestFit="1" customWidth="1"/>
    <col min="4112" max="4112" width="19.5" style="47" customWidth="1"/>
    <col min="4113" max="4113" width="21.1640625" style="47" bestFit="1" customWidth="1"/>
    <col min="4114" max="4114" width="22.6640625" style="47" customWidth="1"/>
    <col min="4115" max="4115" width="22" style="47" customWidth="1"/>
    <col min="4116" max="4116" width="23.5" style="47" bestFit="1" customWidth="1"/>
    <col min="4117" max="4119" width="9.1640625" style="47"/>
    <col min="4120" max="4120" width="11.33203125" style="47" customWidth="1"/>
    <col min="4121" max="4121" width="10.33203125" style="47" customWidth="1"/>
    <col min="4122" max="4329" width="9.1640625" style="47"/>
    <col min="4330" max="4330" width="2.83203125" style="47" customWidth="1"/>
    <col min="4331" max="4331" width="13.1640625" style="47" customWidth="1"/>
    <col min="4332" max="4332" width="60.33203125" style="47" customWidth="1"/>
    <col min="4333" max="4337" width="10.83203125" style="47" bestFit="1" customWidth="1"/>
    <col min="4338" max="4338" width="11.83203125" style="47" bestFit="1" customWidth="1"/>
    <col min="4339" max="4339" width="14.33203125" style="47" bestFit="1" customWidth="1"/>
    <col min="4340" max="4343" width="17.5" style="47" bestFit="1" customWidth="1"/>
    <col min="4344" max="4350" width="21" style="47" bestFit="1" customWidth="1"/>
    <col min="4351" max="4358" width="21.1640625" style="47" bestFit="1" customWidth="1"/>
    <col min="4359" max="4359" width="22.6640625" style="47" customWidth="1"/>
    <col min="4360" max="4360" width="22" style="47" customWidth="1"/>
    <col min="4361" max="4361" width="22.6640625" style="47" customWidth="1"/>
    <col min="4362" max="4367" width="21.1640625" style="47" bestFit="1" customWidth="1"/>
    <col min="4368" max="4368" width="19.5" style="47" customWidth="1"/>
    <col min="4369" max="4369" width="21.1640625" style="47" bestFit="1" customWidth="1"/>
    <col min="4370" max="4370" width="22.6640625" style="47" customWidth="1"/>
    <col min="4371" max="4371" width="22" style="47" customWidth="1"/>
    <col min="4372" max="4372" width="23.5" style="47" bestFit="1" customWidth="1"/>
    <col min="4373" max="4375" width="9.1640625" style="47"/>
    <col min="4376" max="4376" width="11.33203125" style="47" customWidth="1"/>
    <col min="4377" max="4377" width="10.33203125" style="47" customWidth="1"/>
    <col min="4378" max="4585" width="9.1640625" style="47"/>
    <col min="4586" max="4586" width="2.83203125" style="47" customWidth="1"/>
    <col min="4587" max="4587" width="13.1640625" style="47" customWidth="1"/>
    <col min="4588" max="4588" width="60.33203125" style="47" customWidth="1"/>
    <col min="4589" max="4593" width="10.83203125" style="47" bestFit="1" customWidth="1"/>
    <col min="4594" max="4594" width="11.83203125" style="47" bestFit="1" customWidth="1"/>
    <col min="4595" max="4595" width="14.33203125" style="47" bestFit="1" customWidth="1"/>
    <col min="4596" max="4599" width="17.5" style="47" bestFit="1" customWidth="1"/>
    <col min="4600" max="4606" width="21" style="47" bestFit="1" customWidth="1"/>
    <col min="4607" max="4614" width="21.1640625" style="47" bestFit="1" customWidth="1"/>
    <col min="4615" max="4615" width="22.6640625" style="47" customWidth="1"/>
    <col min="4616" max="4616" width="22" style="47" customWidth="1"/>
    <col min="4617" max="4617" width="22.6640625" style="47" customWidth="1"/>
    <col min="4618" max="4623" width="21.1640625" style="47" bestFit="1" customWidth="1"/>
    <col min="4624" max="4624" width="19.5" style="47" customWidth="1"/>
    <col min="4625" max="4625" width="21.1640625" style="47" bestFit="1" customWidth="1"/>
    <col min="4626" max="4626" width="22.6640625" style="47" customWidth="1"/>
    <col min="4627" max="4627" width="22" style="47" customWidth="1"/>
    <col min="4628" max="4628" width="23.5" style="47" bestFit="1" customWidth="1"/>
    <col min="4629" max="4631" width="9.1640625" style="47"/>
    <col min="4632" max="4632" width="11.33203125" style="47" customWidth="1"/>
    <col min="4633" max="4633" width="10.33203125" style="47" customWidth="1"/>
    <col min="4634" max="4841" width="9.1640625" style="47"/>
    <col min="4842" max="4842" width="2.83203125" style="47" customWidth="1"/>
    <col min="4843" max="4843" width="13.1640625" style="47" customWidth="1"/>
    <col min="4844" max="4844" width="60.33203125" style="47" customWidth="1"/>
    <col min="4845" max="4849" width="10.83203125" style="47" bestFit="1" customWidth="1"/>
    <col min="4850" max="4850" width="11.83203125" style="47" bestFit="1" customWidth="1"/>
    <col min="4851" max="4851" width="14.33203125" style="47" bestFit="1" customWidth="1"/>
    <col min="4852" max="4855" width="17.5" style="47" bestFit="1" customWidth="1"/>
    <col min="4856" max="4862" width="21" style="47" bestFit="1" customWidth="1"/>
    <col min="4863" max="4870" width="21.1640625" style="47" bestFit="1" customWidth="1"/>
    <col min="4871" max="4871" width="22.6640625" style="47" customWidth="1"/>
    <col min="4872" max="4872" width="22" style="47" customWidth="1"/>
    <col min="4873" max="4873" width="22.6640625" style="47" customWidth="1"/>
    <col min="4874" max="4879" width="21.1640625" style="47" bestFit="1" customWidth="1"/>
    <col min="4880" max="4880" width="19.5" style="47" customWidth="1"/>
    <col min="4881" max="4881" width="21.1640625" style="47" bestFit="1" customWidth="1"/>
    <col min="4882" max="4882" width="22.6640625" style="47" customWidth="1"/>
    <col min="4883" max="4883" width="22" style="47" customWidth="1"/>
    <col min="4884" max="4884" width="23.5" style="47" bestFit="1" customWidth="1"/>
    <col min="4885" max="4887" width="9.1640625" style="47"/>
    <col min="4888" max="4888" width="11.33203125" style="47" customWidth="1"/>
    <col min="4889" max="4889" width="10.33203125" style="47" customWidth="1"/>
    <col min="4890" max="5097" width="9.1640625" style="47"/>
    <col min="5098" max="5098" width="2.83203125" style="47" customWidth="1"/>
    <col min="5099" max="5099" width="13.1640625" style="47" customWidth="1"/>
    <col min="5100" max="5100" width="60.33203125" style="47" customWidth="1"/>
    <col min="5101" max="5105" width="10.83203125" style="47" bestFit="1" customWidth="1"/>
    <col min="5106" max="5106" width="11.83203125" style="47" bestFit="1" customWidth="1"/>
    <col min="5107" max="5107" width="14.33203125" style="47" bestFit="1" customWidth="1"/>
    <col min="5108" max="5111" width="17.5" style="47" bestFit="1" customWidth="1"/>
    <col min="5112" max="5118" width="21" style="47" bestFit="1" customWidth="1"/>
    <col min="5119" max="5126" width="21.1640625" style="47" bestFit="1" customWidth="1"/>
    <col min="5127" max="5127" width="22.6640625" style="47" customWidth="1"/>
    <col min="5128" max="5128" width="22" style="47" customWidth="1"/>
    <col min="5129" max="5129" width="22.6640625" style="47" customWidth="1"/>
    <col min="5130" max="5135" width="21.1640625" style="47" bestFit="1" customWidth="1"/>
    <col min="5136" max="5136" width="19.5" style="47" customWidth="1"/>
    <col min="5137" max="5137" width="21.1640625" style="47" bestFit="1" customWidth="1"/>
    <col min="5138" max="5138" width="22.6640625" style="47" customWidth="1"/>
    <col min="5139" max="5139" width="22" style="47" customWidth="1"/>
    <col min="5140" max="5140" width="23.5" style="47" bestFit="1" customWidth="1"/>
    <col min="5141" max="5143" width="9.1640625" style="47"/>
    <col min="5144" max="5144" width="11.33203125" style="47" customWidth="1"/>
    <col min="5145" max="5145" width="10.33203125" style="47" customWidth="1"/>
    <col min="5146" max="5353" width="9.1640625" style="47"/>
    <col min="5354" max="5354" width="2.83203125" style="47" customWidth="1"/>
    <col min="5355" max="5355" width="13.1640625" style="47" customWidth="1"/>
    <col min="5356" max="5356" width="60.33203125" style="47" customWidth="1"/>
    <col min="5357" max="5361" width="10.83203125" style="47" bestFit="1" customWidth="1"/>
    <col min="5362" max="5362" width="11.83203125" style="47" bestFit="1" customWidth="1"/>
    <col min="5363" max="5363" width="14.33203125" style="47" bestFit="1" customWidth="1"/>
    <col min="5364" max="5367" width="17.5" style="47" bestFit="1" customWidth="1"/>
    <col min="5368" max="5374" width="21" style="47" bestFit="1" customWidth="1"/>
    <col min="5375" max="5382" width="21.1640625" style="47" bestFit="1" customWidth="1"/>
    <col min="5383" max="5383" width="22.6640625" style="47" customWidth="1"/>
    <col min="5384" max="5384" width="22" style="47" customWidth="1"/>
    <col min="5385" max="5385" width="22.6640625" style="47" customWidth="1"/>
    <col min="5386" max="5391" width="21.1640625" style="47" bestFit="1" customWidth="1"/>
    <col min="5392" max="5392" width="19.5" style="47" customWidth="1"/>
    <col min="5393" max="5393" width="21.1640625" style="47" bestFit="1" customWidth="1"/>
    <col min="5394" max="5394" width="22.6640625" style="47" customWidth="1"/>
    <col min="5395" max="5395" width="22" style="47" customWidth="1"/>
    <col min="5396" max="5396" width="23.5" style="47" bestFit="1" customWidth="1"/>
    <col min="5397" max="5399" width="9.1640625" style="47"/>
    <col min="5400" max="5400" width="11.33203125" style="47" customWidth="1"/>
    <col min="5401" max="5401" width="10.33203125" style="47" customWidth="1"/>
    <col min="5402" max="5609" width="9.1640625" style="47"/>
    <col min="5610" max="5610" width="2.83203125" style="47" customWidth="1"/>
    <col min="5611" max="5611" width="13.1640625" style="47" customWidth="1"/>
    <col min="5612" max="5612" width="60.33203125" style="47" customWidth="1"/>
    <col min="5613" max="5617" width="10.83203125" style="47" bestFit="1" customWidth="1"/>
    <col min="5618" max="5618" width="11.83203125" style="47" bestFit="1" customWidth="1"/>
    <col min="5619" max="5619" width="14.33203125" style="47" bestFit="1" customWidth="1"/>
    <col min="5620" max="5623" width="17.5" style="47" bestFit="1" customWidth="1"/>
    <col min="5624" max="5630" width="21" style="47" bestFit="1" customWidth="1"/>
    <col min="5631" max="5638" width="21.1640625" style="47" bestFit="1" customWidth="1"/>
    <col min="5639" max="5639" width="22.6640625" style="47" customWidth="1"/>
    <col min="5640" max="5640" width="22" style="47" customWidth="1"/>
    <col min="5641" max="5641" width="22.6640625" style="47" customWidth="1"/>
    <col min="5642" max="5647" width="21.1640625" style="47" bestFit="1" customWidth="1"/>
    <col min="5648" max="5648" width="19.5" style="47" customWidth="1"/>
    <col min="5649" max="5649" width="21.1640625" style="47" bestFit="1" customWidth="1"/>
    <col min="5650" max="5650" width="22.6640625" style="47" customWidth="1"/>
    <col min="5651" max="5651" width="22" style="47" customWidth="1"/>
    <col min="5652" max="5652" width="23.5" style="47" bestFit="1" customWidth="1"/>
    <col min="5653" max="5655" width="9.1640625" style="47"/>
    <col min="5656" max="5656" width="11.33203125" style="47" customWidth="1"/>
    <col min="5657" max="5657" width="10.33203125" style="47" customWidth="1"/>
    <col min="5658" max="5865" width="9.1640625" style="47"/>
    <col min="5866" max="5866" width="2.83203125" style="47" customWidth="1"/>
    <col min="5867" max="5867" width="13.1640625" style="47" customWidth="1"/>
    <col min="5868" max="5868" width="60.33203125" style="47" customWidth="1"/>
    <col min="5869" max="5873" width="10.83203125" style="47" bestFit="1" customWidth="1"/>
    <col min="5874" max="5874" width="11.83203125" style="47" bestFit="1" customWidth="1"/>
    <col min="5875" max="5875" width="14.33203125" style="47" bestFit="1" customWidth="1"/>
    <col min="5876" max="5879" width="17.5" style="47" bestFit="1" customWidth="1"/>
    <col min="5880" max="5886" width="21" style="47" bestFit="1" customWidth="1"/>
    <col min="5887" max="5894" width="21.1640625" style="47" bestFit="1" customWidth="1"/>
    <col min="5895" max="5895" width="22.6640625" style="47" customWidth="1"/>
    <col min="5896" max="5896" width="22" style="47" customWidth="1"/>
    <col min="5897" max="5897" width="22.6640625" style="47" customWidth="1"/>
    <col min="5898" max="5903" width="21.1640625" style="47" bestFit="1" customWidth="1"/>
    <col min="5904" max="5904" width="19.5" style="47" customWidth="1"/>
    <col min="5905" max="5905" width="21.1640625" style="47" bestFit="1" customWidth="1"/>
    <col min="5906" max="5906" width="22.6640625" style="47" customWidth="1"/>
    <col min="5907" max="5907" width="22" style="47" customWidth="1"/>
    <col min="5908" max="5908" width="23.5" style="47" bestFit="1" customWidth="1"/>
    <col min="5909" max="5911" width="9.1640625" style="47"/>
    <col min="5912" max="5912" width="11.33203125" style="47" customWidth="1"/>
    <col min="5913" max="5913" width="10.33203125" style="47" customWidth="1"/>
    <col min="5914" max="6121" width="9.1640625" style="47"/>
    <col min="6122" max="6122" width="2.83203125" style="47" customWidth="1"/>
    <col min="6123" max="6123" width="13.1640625" style="47" customWidth="1"/>
    <col min="6124" max="6124" width="60.33203125" style="47" customWidth="1"/>
    <col min="6125" max="6129" width="10.83203125" style="47" bestFit="1" customWidth="1"/>
    <col min="6130" max="6130" width="11.83203125" style="47" bestFit="1" customWidth="1"/>
    <col min="6131" max="6131" width="14.33203125" style="47" bestFit="1" customWidth="1"/>
    <col min="6132" max="6135" width="17.5" style="47" bestFit="1" customWidth="1"/>
    <col min="6136" max="6142" width="21" style="47" bestFit="1" customWidth="1"/>
    <col min="6143" max="6150" width="21.1640625" style="47" bestFit="1" customWidth="1"/>
    <col min="6151" max="6151" width="22.6640625" style="47" customWidth="1"/>
    <col min="6152" max="6152" width="22" style="47" customWidth="1"/>
    <col min="6153" max="6153" width="22.6640625" style="47" customWidth="1"/>
    <col min="6154" max="6159" width="21.1640625" style="47" bestFit="1" customWidth="1"/>
    <col min="6160" max="6160" width="19.5" style="47" customWidth="1"/>
    <col min="6161" max="6161" width="21.1640625" style="47" bestFit="1" customWidth="1"/>
    <col min="6162" max="6162" width="22.6640625" style="47" customWidth="1"/>
    <col min="6163" max="6163" width="22" style="47" customWidth="1"/>
    <col min="6164" max="6164" width="23.5" style="47" bestFit="1" customWidth="1"/>
    <col min="6165" max="6167" width="9.1640625" style="47"/>
    <col min="6168" max="6168" width="11.33203125" style="47" customWidth="1"/>
    <col min="6169" max="6169" width="10.33203125" style="47" customWidth="1"/>
    <col min="6170" max="6377" width="9.1640625" style="47"/>
    <col min="6378" max="6378" width="2.83203125" style="47" customWidth="1"/>
    <col min="6379" max="6379" width="13.1640625" style="47" customWidth="1"/>
    <col min="6380" max="6380" width="60.33203125" style="47" customWidth="1"/>
    <col min="6381" max="6385" width="10.83203125" style="47" bestFit="1" customWidth="1"/>
    <col min="6386" max="6386" width="11.83203125" style="47" bestFit="1" customWidth="1"/>
    <col min="6387" max="6387" width="14.33203125" style="47" bestFit="1" customWidth="1"/>
    <col min="6388" max="6391" width="17.5" style="47" bestFit="1" customWidth="1"/>
    <col min="6392" max="6398" width="21" style="47" bestFit="1" customWidth="1"/>
    <col min="6399" max="6406" width="21.1640625" style="47" bestFit="1" customWidth="1"/>
    <col min="6407" max="6407" width="22.6640625" style="47" customWidth="1"/>
    <col min="6408" max="6408" width="22" style="47" customWidth="1"/>
    <col min="6409" max="6409" width="22.6640625" style="47" customWidth="1"/>
    <col min="6410" max="6415" width="21.1640625" style="47" bestFit="1" customWidth="1"/>
    <col min="6416" max="6416" width="19.5" style="47" customWidth="1"/>
    <col min="6417" max="6417" width="21.1640625" style="47" bestFit="1" customWidth="1"/>
    <col min="6418" max="6418" width="22.6640625" style="47" customWidth="1"/>
    <col min="6419" max="6419" width="22" style="47" customWidth="1"/>
    <col min="6420" max="6420" width="23.5" style="47" bestFit="1" customWidth="1"/>
    <col min="6421" max="6423" width="9.1640625" style="47"/>
    <col min="6424" max="6424" width="11.33203125" style="47" customWidth="1"/>
    <col min="6425" max="6425" width="10.33203125" style="47" customWidth="1"/>
    <col min="6426" max="6633" width="9.1640625" style="47"/>
    <col min="6634" max="6634" width="2.83203125" style="47" customWidth="1"/>
    <col min="6635" max="6635" width="13.1640625" style="47" customWidth="1"/>
    <col min="6636" max="6636" width="60.33203125" style="47" customWidth="1"/>
    <col min="6637" max="6641" width="10.83203125" style="47" bestFit="1" customWidth="1"/>
    <col min="6642" max="6642" width="11.83203125" style="47" bestFit="1" customWidth="1"/>
    <col min="6643" max="6643" width="14.33203125" style="47" bestFit="1" customWidth="1"/>
    <col min="6644" max="6647" width="17.5" style="47" bestFit="1" customWidth="1"/>
    <col min="6648" max="6654" width="21" style="47" bestFit="1" customWidth="1"/>
    <col min="6655" max="6662" width="21.1640625" style="47" bestFit="1" customWidth="1"/>
    <col min="6663" max="6663" width="22.6640625" style="47" customWidth="1"/>
    <col min="6664" max="6664" width="22" style="47" customWidth="1"/>
    <col min="6665" max="6665" width="22.6640625" style="47" customWidth="1"/>
    <col min="6666" max="6671" width="21.1640625" style="47" bestFit="1" customWidth="1"/>
    <col min="6672" max="6672" width="19.5" style="47" customWidth="1"/>
    <col min="6673" max="6673" width="21.1640625" style="47" bestFit="1" customWidth="1"/>
    <col min="6674" max="6674" width="22.6640625" style="47" customWidth="1"/>
    <col min="6675" max="6675" width="22" style="47" customWidth="1"/>
    <col min="6676" max="6676" width="23.5" style="47" bestFit="1" customWidth="1"/>
    <col min="6677" max="6679" width="9.1640625" style="47"/>
    <col min="6680" max="6680" width="11.33203125" style="47" customWidth="1"/>
    <col min="6681" max="6681" width="10.33203125" style="47" customWidth="1"/>
    <col min="6682" max="6889" width="9.1640625" style="47"/>
    <col min="6890" max="6890" width="2.83203125" style="47" customWidth="1"/>
    <col min="6891" max="6891" width="13.1640625" style="47" customWidth="1"/>
    <col min="6892" max="6892" width="60.33203125" style="47" customWidth="1"/>
    <col min="6893" max="6897" width="10.83203125" style="47" bestFit="1" customWidth="1"/>
    <col min="6898" max="6898" width="11.83203125" style="47" bestFit="1" customWidth="1"/>
    <col min="6899" max="6899" width="14.33203125" style="47" bestFit="1" customWidth="1"/>
    <col min="6900" max="6903" width="17.5" style="47" bestFit="1" customWidth="1"/>
    <col min="6904" max="6910" width="21" style="47" bestFit="1" customWidth="1"/>
    <col min="6911" max="6918" width="21.1640625" style="47" bestFit="1" customWidth="1"/>
    <col min="6919" max="6919" width="22.6640625" style="47" customWidth="1"/>
    <col min="6920" max="6920" width="22" style="47" customWidth="1"/>
    <col min="6921" max="6921" width="22.6640625" style="47" customWidth="1"/>
    <col min="6922" max="6927" width="21.1640625" style="47" bestFit="1" customWidth="1"/>
    <col min="6928" max="6928" width="19.5" style="47" customWidth="1"/>
    <col min="6929" max="6929" width="21.1640625" style="47" bestFit="1" customWidth="1"/>
    <col min="6930" max="6930" width="22.6640625" style="47" customWidth="1"/>
    <col min="6931" max="6931" width="22" style="47" customWidth="1"/>
    <col min="6932" max="6932" width="23.5" style="47" bestFit="1" customWidth="1"/>
    <col min="6933" max="6935" width="9.1640625" style="47"/>
    <col min="6936" max="6936" width="11.33203125" style="47" customWidth="1"/>
    <col min="6937" max="6937" width="10.33203125" style="47" customWidth="1"/>
    <col min="6938" max="7145" width="9.1640625" style="47"/>
    <col min="7146" max="7146" width="2.83203125" style="47" customWidth="1"/>
    <col min="7147" max="7147" width="13.1640625" style="47" customWidth="1"/>
    <col min="7148" max="7148" width="60.33203125" style="47" customWidth="1"/>
    <col min="7149" max="7153" width="10.83203125" style="47" bestFit="1" customWidth="1"/>
    <col min="7154" max="7154" width="11.83203125" style="47" bestFit="1" customWidth="1"/>
    <col min="7155" max="7155" width="14.33203125" style="47" bestFit="1" customWidth="1"/>
    <col min="7156" max="7159" width="17.5" style="47" bestFit="1" customWidth="1"/>
    <col min="7160" max="7166" width="21" style="47" bestFit="1" customWidth="1"/>
    <col min="7167" max="7174" width="21.1640625" style="47" bestFit="1" customWidth="1"/>
    <col min="7175" max="7175" width="22.6640625" style="47" customWidth="1"/>
    <col min="7176" max="7176" width="22" style="47" customWidth="1"/>
    <col min="7177" max="7177" width="22.6640625" style="47" customWidth="1"/>
    <col min="7178" max="7183" width="21.1640625" style="47" bestFit="1" customWidth="1"/>
    <col min="7184" max="7184" width="19.5" style="47" customWidth="1"/>
    <col min="7185" max="7185" width="21.1640625" style="47" bestFit="1" customWidth="1"/>
    <col min="7186" max="7186" width="22.6640625" style="47" customWidth="1"/>
    <col min="7187" max="7187" width="22" style="47" customWidth="1"/>
    <col min="7188" max="7188" width="23.5" style="47" bestFit="1" customWidth="1"/>
    <col min="7189" max="7191" width="9.1640625" style="47"/>
    <col min="7192" max="7192" width="11.33203125" style="47" customWidth="1"/>
    <col min="7193" max="7193" width="10.33203125" style="47" customWidth="1"/>
    <col min="7194" max="7401" width="9.1640625" style="47"/>
    <col min="7402" max="7402" width="2.83203125" style="47" customWidth="1"/>
    <col min="7403" max="7403" width="13.1640625" style="47" customWidth="1"/>
    <col min="7404" max="7404" width="60.33203125" style="47" customWidth="1"/>
    <col min="7405" max="7409" width="10.83203125" style="47" bestFit="1" customWidth="1"/>
    <col min="7410" max="7410" width="11.83203125" style="47" bestFit="1" customWidth="1"/>
    <col min="7411" max="7411" width="14.33203125" style="47" bestFit="1" customWidth="1"/>
    <col min="7412" max="7415" width="17.5" style="47" bestFit="1" customWidth="1"/>
    <col min="7416" max="7422" width="21" style="47" bestFit="1" customWidth="1"/>
    <col min="7423" max="7430" width="21.1640625" style="47" bestFit="1" customWidth="1"/>
    <col min="7431" max="7431" width="22.6640625" style="47" customWidth="1"/>
    <col min="7432" max="7432" width="22" style="47" customWidth="1"/>
    <col min="7433" max="7433" width="22.6640625" style="47" customWidth="1"/>
    <col min="7434" max="7439" width="21.1640625" style="47" bestFit="1" customWidth="1"/>
    <col min="7440" max="7440" width="19.5" style="47" customWidth="1"/>
    <col min="7441" max="7441" width="21.1640625" style="47" bestFit="1" customWidth="1"/>
    <col min="7442" max="7442" width="22.6640625" style="47" customWidth="1"/>
    <col min="7443" max="7443" width="22" style="47" customWidth="1"/>
    <col min="7444" max="7444" width="23.5" style="47" bestFit="1" customWidth="1"/>
    <col min="7445" max="7447" width="9.1640625" style="47"/>
    <col min="7448" max="7448" width="11.33203125" style="47" customWidth="1"/>
    <col min="7449" max="7449" width="10.33203125" style="47" customWidth="1"/>
    <col min="7450" max="7657" width="9.1640625" style="47"/>
    <col min="7658" max="7658" width="2.83203125" style="47" customWidth="1"/>
    <col min="7659" max="7659" width="13.1640625" style="47" customWidth="1"/>
    <col min="7660" max="7660" width="60.33203125" style="47" customWidth="1"/>
    <col min="7661" max="7665" width="10.83203125" style="47" bestFit="1" customWidth="1"/>
    <col min="7666" max="7666" width="11.83203125" style="47" bestFit="1" customWidth="1"/>
    <col min="7667" max="7667" width="14.33203125" style="47" bestFit="1" customWidth="1"/>
    <col min="7668" max="7671" width="17.5" style="47" bestFit="1" customWidth="1"/>
    <col min="7672" max="7678" width="21" style="47" bestFit="1" customWidth="1"/>
    <col min="7679" max="7686" width="21.1640625" style="47" bestFit="1" customWidth="1"/>
    <col min="7687" max="7687" width="22.6640625" style="47" customWidth="1"/>
    <col min="7688" max="7688" width="22" style="47" customWidth="1"/>
    <col min="7689" max="7689" width="22.6640625" style="47" customWidth="1"/>
    <col min="7690" max="7695" width="21.1640625" style="47" bestFit="1" customWidth="1"/>
    <col min="7696" max="7696" width="19.5" style="47" customWidth="1"/>
    <col min="7697" max="7697" width="21.1640625" style="47" bestFit="1" customWidth="1"/>
    <col min="7698" max="7698" width="22.6640625" style="47" customWidth="1"/>
    <col min="7699" max="7699" width="22" style="47" customWidth="1"/>
    <col min="7700" max="7700" width="23.5" style="47" bestFit="1" customWidth="1"/>
    <col min="7701" max="7703" width="9.1640625" style="47"/>
    <col min="7704" max="7704" width="11.33203125" style="47" customWidth="1"/>
    <col min="7705" max="7705" width="10.33203125" style="47" customWidth="1"/>
    <col min="7706" max="7913" width="9.1640625" style="47"/>
    <col min="7914" max="7914" width="2.83203125" style="47" customWidth="1"/>
    <col min="7915" max="7915" width="13.1640625" style="47" customWidth="1"/>
    <col min="7916" max="7916" width="60.33203125" style="47" customWidth="1"/>
    <col min="7917" max="7921" width="10.83203125" style="47" bestFit="1" customWidth="1"/>
    <col min="7922" max="7922" width="11.83203125" style="47" bestFit="1" customWidth="1"/>
    <col min="7923" max="7923" width="14.33203125" style="47" bestFit="1" customWidth="1"/>
    <col min="7924" max="7927" width="17.5" style="47" bestFit="1" customWidth="1"/>
    <col min="7928" max="7934" width="21" style="47" bestFit="1" customWidth="1"/>
    <col min="7935" max="7942" width="21.1640625" style="47" bestFit="1" customWidth="1"/>
    <col min="7943" max="7943" width="22.6640625" style="47" customWidth="1"/>
    <col min="7944" max="7944" width="22" style="47" customWidth="1"/>
    <col min="7945" max="7945" width="22.6640625" style="47" customWidth="1"/>
    <col min="7946" max="7951" width="21.1640625" style="47" bestFit="1" customWidth="1"/>
    <col min="7952" max="7952" width="19.5" style="47" customWidth="1"/>
    <col min="7953" max="7953" width="21.1640625" style="47" bestFit="1" customWidth="1"/>
    <col min="7954" max="7954" width="22.6640625" style="47" customWidth="1"/>
    <col min="7955" max="7955" width="22" style="47" customWidth="1"/>
    <col min="7956" max="7956" width="23.5" style="47" bestFit="1" customWidth="1"/>
    <col min="7957" max="7959" width="9.1640625" style="47"/>
    <col min="7960" max="7960" width="11.33203125" style="47" customWidth="1"/>
    <col min="7961" max="7961" width="10.33203125" style="47" customWidth="1"/>
    <col min="7962" max="8169" width="9.1640625" style="47"/>
    <col min="8170" max="8170" width="2.83203125" style="47" customWidth="1"/>
    <col min="8171" max="8171" width="13.1640625" style="47" customWidth="1"/>
    <col min="8172" max="8172" width="60.33203125" style="47" customWidth="1"/>
    <col min="8173" max="8177" width="10.83203125" style="47" bestFit="1" customWidth="1"/>
    <col min="8178" max="8178" width="11.83203125" style="47" bestFit="1" customWidth="1"/>
    <col min="8179" max="8179" width="14.33203125" style="47" bestFit="1" customWidth="1"/>
    <col min="8180" max="8183" width="17.5" style="47" bestFit="1" customWidth="1"/>
    <col min="8184" max="8190" width="21" style="47" bestFit="1" customWidth="1"/>
    <col min="8191" max="8198" width="21.1640625" style="47" bestFit="1" customWidth="1"/>
    <col min="8199" max="8199" width="22.6640625" style="47" customWidth="1"/>
    <col min="8200" max="8200" width="22" style="47" customWidth="1"/>
    <col min="8201" max="8201" width="22.6640625" style="47" customWidth="1"/>
    <col min="8202" max="8207" width="21.1640625" style="47" bestFit="1" customWidth="1"/>
    <col min="8208" max="8208" width="19.5" style="47" customWidth="1"/>
    <col min="8209" max="8209" width="21.1640625" style="47" bestFit="1" customWidth="1"/>
    <col min="8210" max="8210" width="22.6640625" style="47" customWidth="1"/>
    <col min="8211" max="8211" width="22" style="47" customWidth="1"/>
    <col min="8212" max="8212" width="23.5" style="47" bestFit="1" customWidth="1"/>
    <col min="8213" max="8215" width="9.1640625" style="47"/>
    <col min="8216" max="8216" width="11.33203125" style="47" customWidth="1"/>
    <col min="8217" max="8217" width="10.33203125" style="47" customWidth="1"/>
    <col min="8218" max="8425" width="9.1640625" style="47"/>
    <col min="8426" max="8426" width="2.83203125" style="47" customWidth="1"/>
    <col min="8427" max="8427" width="13.1640625" style="47" customWidth="1"/>
    <col min="8428" max="8428" width="60.33203125" style="47" customWidth="1"/>
    <col min="8429" max="8433" width="10.83203125" style="47" bestFit="1" customWidth="1"/>
    <col min="8434" max="8434" width="11.83203125" style="47" bestFit="1" customWidth="1"/>
    <col min="8435" max="8435" width="14.33203125" style="47" bestFit="1" customWidth="1"/>
    <col min="8436" max="8439" width="17.5" style="47" bestFit="1" customWidth="1"/>
    <col min="8440" max="8446" width="21" style="47" bestFit="1" customWidth="1"/>
    <col min="8447" max="8454" width="21.1640625" style="47" bestFit="1" customWidth="1"/>
    <col min="8455" max="8455" width="22.6640625" style="47" customWidth="1"/>
    <col min="8456" max="8456" width="22" style="47" customWidth="1"/>
    <col min="8457" max="8457" width="22.6640625" style="47" customWidth="1"/>
    <col min="8458" max="8463" width="21.1640625" style="47" bestFit="1" customWidth="1"/>
    <col min="8464" max="8464" width="19.5" style="47" customWidth="1"/>
    <col min="8465" max="8465" width="21.1640625" style="47" bestFit="1" customWidth="1"/>
    <col min="8466" max="8466" width="22.6640625" style="47" customWidth="1"/>
    <col min="8467" max="8467" width="22" style="47" customWidth="1"/>
    <col min="8468" max="8468" width="23.5" style="47" bestFit="1" customWidth="1"/>
    <col min="8469" max="8471" width="9.1640625" style="47"/>
    <col min="8472" max="8472" width="11.33203125" style="47" customWidth="1"/>
    <col min="8473" max="8473" width="10.33203125" style="47" customWidth="1"/>
    <col min="8474" max="8681" width="9.1640625" style="47"/>
    <col min="8682" max="8682" width="2.83203125" style="47" customWidth="1"/>
    <col min="8683" max="8683" width="13.1640625" style="47" customWidth="1"/>
    <col min="8684" max="8684" width="60.33203125" style="47" customWidth="1"/>
    <col min="8685" max="8689" width="10.83203125" style="47" bestFit="1" customWidth="1"/>
    <col min="8690" max="8690" width="11.83203125" style="47" bestFit="1" customWidth="1"/>
    <col min="8691" max="8691" width="14.33203125" style="47" bestFit="1" customWidth="1"/>
    <col min="8692" max="8695" width="17.5" style="47" bestFit="1" customWidth="1"/>
    <col min="8696" max="8702" width="21" style="47" bestFit="1" customWidth="1"/>
    <col min="8703" max="8710" width="21.1640625" style="47" bestFit="1" customWidth="1"/>
    <col min="8711" max="8711" width="22.6640625" style="47" customWidth="1"/>
    <col min="8712" max="8712" width="22" style="47" customWidth="1"/>
    <col min="8713" max="8713" width="22.6640625" style="47" customWidth="1"/>
    <col min="8714" max="8719" width="21.1640625" style="47" bestFit="1" customWidth="1"/>
    <col min="8720" max="8720" width="19.5" style="47" customWidth="1"/>
    <col min="8721" max="8721" width="21.1640625" style="47" bestFit="1" customWidth="1"/>
    <col min="8722" max="8722" width="22.6640625" style="47" customWidth="1"/>
    <col min="8723" max="8723" width="22" style="47" customWidth="1"/>
    <col min="8724" max="8724" width="23.5" style="47" bestFit="1" customWidth="1"/>
    <col min="8725" max="8727" width="9.1640625" style="47"/>
    <col min="8728" max="8728" width="11.33203125" style="47" customWidth="1"/>
    <col min="8729" max="8729" width="10.33203125" style="47" customWidth="1"/>
    <col min="8730" max="8937" width="9.1640625" style="47"/>
    <col min="8938" max="8938" width="2.83203125" style="47" customWidth="1"/>
    <col min="8939" max="8939" width="13.1640625" style="47" customWidth="1"/>
    <col min="8940" max="8940" width="60.33203125" style="47" customWidth="1"/>
    <col min="8941" max="8945" width="10.83203125" style="47" bestFit="1" customWidth="1"/>
    <col min="8946" max="8946" width="11.83203125" style="47" bestFit="1" customWidth="1"/>
    <col min="8947" max="8947" width="14.33203125" style="47" bestFit="1" customWidth="1"/>
    <col min="8948" max="8951" width="17.5" style="47" bestFit="1" customWidth="1"/>
    <col min="8952" max="8958" width="21" style="47" bestFit="1" customWidth="1"/>
    <col min="8959" max="8966" width="21.1640625" style="47" bestFit="1" customWidth="1"/>
    <col min="8967" max="8967" width="22.6640625" style="47" customWidth="1"/>
    <col min="8968" max="8968" width="22" style="47" customWidth="1"/>
    <col min="8969" max="8969" width="22.6640625" style="47" customWidth="1"/>
    <col min="8970" max="8975" width="21.1640625" style="47" bestFit="1" customWidth="1"/>
    <col min="8976" max="8976" width="19.5" style="47" customWidth="1"/>
    <col min="8977" max="8977" width="21.1640625" style="47" bestFit="1" customWidth="1"/>
    <col min="8978" max="8978" width="22.6640625" style="47" customWidth="1"/>
    <col min="8979" max="8979" width="22" style="47" customWidth="1"/>
    <col min="8980" max="8980" width="23.5" style="47" bestFit="1" customWidth="1"/>
    <col min="8981" max="8983" width="9.1640625" style="47"/>
    <col min="8984" max="8984" width="11.33203125" style="47" customWidth="1"/>
    <col min="8985" max="8985" width="10.33203125" style="47" customWidth="1"/>
    <col min="8986" max="9193" width="9.1640625" style="47"/>
    <col min="9194" max="9194" width="2.83203125" style="47" customWidth="1"/>
    <col min="9195" max="9195" width="13.1640625" style="47" customWidth="1"/>
    <col min="9196" max="9196" width="60.33203125" style="47" customWidth="1"/>
    <col min="9197" max="9201" width="10.83203125" style="47" bestFit="1" customWidth="1"/>
    <col min="9202" max="9202" width="11.83203125" style="47" bestFit="1" customWidth="1"/>
    <col min="9203" max="9203" width="14.33203125" style="47" bestFit="1" customWidth="1"/>
    <col min="9204" max="9207" width="17.5" style="47" bestFit="1" customWidth="1"/>
    <col min="9208" max="9214" width="21" style="47" bestFit="1" customWidth="1"/>
    <col min="9215" max="9222" width="21.1640625" style="47" bestFit="1" customWidth="1"/>
    <col min="9223" max="9223" width="22.6640625" style="47" customWidth="1"/>
    <col min="9224" max="9224" width="22" style="47" customWidth="1"/>
    <col min="9225" max="9225" width="22.6640625" style="47" customWidth="1"/>
    <col min="9226" max="9231" width="21.1640625" style="47" bestFit="1" customWidth="1"/>
    <col min="9232" max="9232" width="19.5" style="47" customWidth="1"/>
    <col min="9233" max="9233" width="21.1640625" style="47" bestFit="1" customWidth="1"/>
    <col min="9234" max="9234" width="22.6640625" style="47" customWidth="1"/>
    <col min="9235" max="9235" width="22" style="47" customWidth="1"/>
    <col min="9236" max="9236" width="23.5" style="47" bestFit="1" customWidth="1"/>
    <col min="9237" max="9239" width="9.1640625" style="47"/>
    <col min="9240" max="9240" width="11.33203125" style="47" customWidth="1"/>
    <col min="9241" max="9241" width="10.33203125" style="47" customWidth="1"/>
    <col min="9242" max="9449" width="9.1640625" style="47"/>
    <col min="9450" max="9450" width="2.83203125" style="47" customWidth="1"/>
    <col min="9451" max="9451" width="13.1640625" style="47" customWidth="1"/>
    <col min="9452" max="9452" width="60.33203125" style="47" customWidth="1"/>
    <col min="9453" max="9457" width="10.83203125" style="47" bestFit="1" customWidth="1"/>
    <col min="9458" max="9458" width="11.83203125" style="47" bestFit="1" customWidth="1"/>
    <col min="9459" max="9459" width="14.33203125" style="47" bestFit="1" customWidth="1"/>
    <col min="9460" max="9463" width="17.5" style="47" bestFit="1" customWidth="1"/>
    <col min="9464" max="9470" width="21" style="47" bestFit="1" customWidth="1"/>
    <col min="9471" max="9478" width="21.1640625" style="47" bestFit="1" customWidth="1"/>
    <col min="9479" max="9479" width="22.6640625" style="47" customWidth="1"/>
    <col min="9480" max="9480" width="22" style="47" customWidth="1"/>
    <col min="9481" max="9481" width="22.6640625" style="47" customWidth="1"/>
    <col min="9482" max="9487" width="21.1640625" style="47" bestFit="1" customWidth="1"/>
    <col min="9488" max="9488" width="19.5" style="47" customWidth="1"/>
    <col min="9489" max="9489" width="21.1640625" style="47" bestFit="1" customWidth="1"/>
    <col min="9490" max="9490" width="22.6640625" style="47" customWidth="1"/>
    <col min="9491" max="9491" width="22" style="47" customWidth="1"/>
    <col min="9492" max="9492" width="23.5" style="47" bestFit="1" customWidth="1"/>
    <col min="9493" max="9495" width="9.1640625" style="47"/>
    <col min="9496" max="9496" width="11.33203125" style="47" customWidth="1"/>
    <col min="9497" max="9497" width="10.33203125" style="47" customWidth="1"/>
    <col min="9498" max="9705" width="9.1640625" style="47"/>
    <col min="9706" max="9706" width="2.83203125" style="47" customWidth="1"/>
    <col min="9707" max="9707" width="13.1640625" style="47" customWidth="1"/>
    <col min="9708" max="9708" width="60.33203125" style="47" customWidth="1"/>
    <col min="9709" max="9713" width="10.83203125" style="47" bestFit="1" customWidth="1"/>
    <col min="9714" max="9714" width="11.83203125" style="47" bestFit="1" customWidth="1"/>
    <col min="9715" max="9715" width="14.33203125" style="47" bestFit="1" customWidth="1"/>
    <col min="9716" max="9719" width="17.5" style="47" bestFit="1" customWidth="1"/>
    <col min="9720" max="9726" width="21" style="47" bestFit="1" customWidth="1"/>
    <col min="9727" max="9734" width="21.1640625" style="47" bestFit="1" customWidth="1"/>
    <col min="9735" max="9735" width="22.6640625" style="47" customWidth="1"/>
    <col min="9736" max="9736" width="22" style="47" customWidth="1"/>
    <col min="9737" max="9737" width="22.6640625" style="47" customWidth="1"/>
    <col min="9738" max="9743" width="21.1640625" style="47" bestFit="1" customWidth="1"/>
    <col min="9744" max="9744" width="19.5" style="47" customWidth="1"/>
    <col min="9745" max="9745" width="21.1640625" style="47" bestFit="1" customWidth="1"/>
    <col min="9746" max="9746" width="22.6640625" style="47" customWidth="1"/>
    <col min="9747" max="9747" width="22" style="47" customWidth="1"/>
    <col min="9748" max="9748" width="23.5" style="47" bestFit="1" customWidth="1"/>
    <col min="9749" max="9751" width="9.1640625" style="47"/>
    <col min="9752" max="9752" width="11.33203125" style="47" customWidth="1"/>
    <col min="9753" max="9753" width="10.33203125" style="47" customWidth="1"/>
    <col min="9754" max="9961" width="9.1640625" style="47"/>
    <col min="9962" max="9962" width="2.83203125" style="47" customWidth="1"/>
    <col min="9963" max="9963" width="13.1640625" style="47" customWidth="1"/>
    <col min="9964" max="9964" width="60.33203125" style="47" customWidth="1"/>
    <col min="9965" max="9969" width="10.83203125" style="47" bestFit="1" customWidth="1"/>
    <col min="9970" max="9970" width="11.83203125" style="47" bestFit="1" customWidth="1"/>
    <col min="9971" max="9971" width="14.33203125" style="47" bestFit="1" customWidth="1"/>
    <col min="9972" max="9975" width="17.5" style="47" bestFit="1" customWidth="1"/>
    <col min="9976" max="9982" width="21" style="47" bestFit="1" customWidth="1"/>
    <col min="9983" max="9990" width="21.1640625" style="47" bestFit="1" customWidth="1"/>
    <col min="9991" max="9991" width="22.6640625" style="47" customWidth="1"/>
    <col min="9992" max="9992" width="22" style="47" customWidth="1"/>
    <col min="9993" max="9993" width="22.6640625" style="47" customWidth="1"/>
    <col min="9994" max="9999" width="21.1640625" style="47" bestFit="1" customWidth="1"/>
    <col min="10000" max="10000" width="19.5" style="47" customWidth="1"/>
    <col min="10001" max="10001" width="21.1640625" style="47" bestFit="1" customWidth="1"/>
    <col min="10002" max="10002" width="22.6640625" style="47" customWidth="1"/>
    <col min="10003" max="10003" width="22" style="47" customWidth="1"/>
    <col min="10004" max="10004" width="23.5" style="47" bestFit="1" customWidth="1"/>
    <col min="10005" max="10007" width="9.1640625" style="47"/>
    <col min="10008" max="10008" width="11.33203125" style="47" customWidth="1"/>
    <col min="10009" max="10009" width="10.33203125" style="47" customWidth="1"/>
    <col min="10010" max="10217" width="9.1640625" style="47"/>
    <col min="10218" max="10218" width="2.83203125" style="47" customWidth="1"/>
    <col min="10219" max="10219" width="13.1640625" style="47" customWidth="1"/>
    <col min="10220" max="10220" width="60.33203125" style="47" customWidth="1"/>
    <col min="10221" max="10225" width="10.83203125" style="47" bestFit="1" customWidth="1"/>
    <col min="10226" max="10226" width="11.83203125" style="47" bestFit="1" customWidth="1"/>
    <col min="10227" max="10227" width="14.33203125" style="47" bestFit="1" customWidth="1"/>
    <col min="10228" max="10231" width="17.5" style="47" bestFit="1" customWidth="1"/>
    <col min="10232" max="10238" width="21" style="47" bestFit="1" customWidth="1"/>
    <col min="10239" max="10246" width="21.1640625" style="47" bestFit="1" customWidth="1"/>
    <col min="10247" max="10247" width="22.6640625" style="47" customWidth="1"/>
    <col min="10248" max="10248" width="22" style="47" customWidth="1"/>
    <col min="10249" max="10249" width="22.6640625" style="47" customWidth="1"/>
    <col min="10250" max="10255" width="21.1640625" style="47" bestFit="1" customWidth="1"/>
    <col min="10256" max="10256" width="19.5" style="47" customWidth="1"/>
    <col min="10257" max="10257" width="21.1640625" style="47" bestFit="1" customWidth="1"/>
    <col min="10258" max="10258" width="22.6640625" style="47" customWidth="1"/>
    <col min="10259" max="10259" width="22" style="47" customWidth="1"/>
    <col min="10260" max="10260" width="23.5" style="47" bestFit="1" customWidth="1"/>
    <col min="10261" max="10263" width="9.1640625" style="47"/>
    <col min="10264" max="10264" width="11.33203125" style="47" customWidth="1"/>
    <col min="10265" max="10265" width="10.33203125" style="47" customWidth="1"/>
    <col min="10266" max="10473" width="9.1640625" style="47"/>
    <col min="10474" max="10474" width="2.83203125" style="47" customWidth="1"/>
    <col min="10475" max="10475" width="13.1640625" style="47" customWidth="1"/>
    <col min="10476" max="10476" width="60.33203125" style="47" customWidth="1"/>
    <col min="10477" max="10481" width="10.83203125" style="47" bestFit="1" customWidth="1"/>
    <col min="10482" max="10482" width="11.83203125" style="47" bestFit="1" customWidth="1"/>
    <col min="10483" max="10483" width="14.33203125" style="47" bestFit="1" customWidth="1"/>
    <col min="10484" max="10487" width="17.5" style="47" bestFit="1" customWidth="1"/>
    <col min="10488" max="10494" width="21" style="47" bestFit="1" customWidth="1"/>
    <col min="10495" max="10502" width="21.1640625" style="47" bestFit="1" customWidth="1"/>
    <col min="10503" max="10503" width="22.6640625" style="47" customWidth="1"/>
    <col min="10504" max="10504" width="22" style="47" customWidth="1"/>
    <col min="10505" max="10505" width="22.6640625" style="47" customWidth="1"/>
    <col min="10506" max="10511" width="21.1640625" style="47" bestFit="1" customWidth="1"/>
    <col min="10512" max="10512" width="19.5" style="47" customWidth="1"/>
    <col min="10513" max="10513" width="21.1640625" style="47" bestFit="1" customWidth="1"/>
    <col min="10514" max="10514" width="22.6640625" style="47" customWidth="1"/>
    <col min="10515" max="10515" width="22" style="47" customWidth="1"/>
    <col min="10516" max="10516" width="23.5" style="47" bestFit="1" customWidth="1"/>
    <col min="10517" max="10519" width="9.1640625" style="47"/>
    <col min="10520" max="10520" width="11.33203125" style="47" customWidth="1"/>
    <col min="10521" max="10521" width="10.33203125" style="47" customWidth="1"/>
    <col min="10522" max="10729" width="9.1640625" style="47"/>
    <col min="10730" max="10730" width="2.83203125" style="47" customWidth="1"/>
    <col min="10731" max="10731" width="13.1640625" style="47" customWidth="1"/>
    <col min="10732" max="10732" width="60.33203125" style="47" customWidth="1"/>
    <col min="10733" max="10737" width="10.83203125" style="47" bestFit="1" customWidth="1"/>
    <col min="10738" max="10738" width="11.83203125" style="47" bestFit="1" customWidth="1"/>
    <col min="10739" max="10739" width="14.33203125" style="47" bestFit="1" customWidth="1"/>
    <col min="10740" max="10743" width="17.5" style="47" bestFit="1" customWidth="1"/>
    <col min="10744" max="10750" width="21" style="47" bestFit="1" customWidth="1"/>
    <col min="10751" max="10758" width="21.1640625" style="47" bestFit="1" customWidth="1"/>
    <col min="10759" max="10759" width="22.6640625" style="47" customWidth="1"/>
    <col min="10760" max="10760" width="22" style="47" customWidth="1"/>
    <col min="10761" max="10761" width="22.6640625" style="47" customWidth="1"/>
    <col min="10762" max="10767" width="21.1640625" style="47" bestFit="1" customWidth="1"/>
    <col min="10768" max="10768" width="19.5" style="47" customWidth="1"/>
    <col min="10769" max="10769" width="21.1640625" style="47" bestFit="1" customWidth="1"/>
    <col min="10770" max="10770" width="22.6640625" style="47" customWidth="1"/>
    <col min="10771" max="10771" width="22" style="47" customWidth="1"/>
    <col min="10772" max="10772" width="23.5" style="47" bestFit="1" customWidth="1"/>
    <col min="10773" max="10775" width="9.1640625" style="47"/>
    <col min="10776" max="10776" width="11.33203125" style="47" customWidth="1"/>
    <col min="10777" max="10777" width="10.33203125" style="47" customWidth="1"/>
    <col min="10778" max="10985" width="9.1640625" style="47"/>
    <col min="10986" max="10986" width="2.83203125" style="47" customWidth="1"/>
    <col min="10987" max="10987" width="13.1640625" style="47" customWidth="1"/>
    <col min="10988" max="10988" width="60.33203125" style="47" customWidth="1"/>
    <col min="10989" max="10993" width="10.83203125" style="47" bestFit="1" customWidth="1"/>
    <col min="10994" max="10994" width="11.83203125" style="47" bestFit="1" customWidth="1"/>
    <col min="10995" max="10995" width="14.33203125" style="47" bestFit="1" customWidth="1"/>
    <col min="10996" max="10999" width="17.5" style="47" bestFit="1" customWidth="1"/>
    <col min="11000" max="11006" width="21" style="47" bestFit="1" customWidth="1"/>
    <col min="11007" max="11014" width="21.1640625" style="47" bestFit="1" customWidth="1"/>
    <col min="11015" max="11015" width="22.6640625" style="47" customWidth="1"/>
    <col min="11016" max="11016" width="22" style="47" customWidth="1"/>
    <col min="11017" max="11017" width="22.6640625" style="47" customWidth="1"/>
    <col min="11018" max="11023" width="21.1640625" style="47" bestFit="1" customWidth="1"/>
    <col min="11024" max="11024" width="19.5" style="47" customWidth="1"/>
    <col min="11025" max="11025" width="21.1640625" style="47" bestFit="1" customWidth="1"/>
    <col min="11026" max="11026" width="22.6640625" style="47" customWidth="1"/>
    <col min="11027" max="11027" width="22" style="47" customWidth="1"/>
    <col min="11028" max="11028" width="23.5" style="47" bestFit="1" customWidth="1"/>
    <col min="11029" max="11031" width="9.1640625" style="47"/>
    <col min="11032" max="11032" width="11.33203125" style="47" customWidth="1"/>
    <col min="11033" max="11033" width="10.33203125" style="47" customWidth="1"/>
    <col min="11034" max="11241" width="9.1640625" style="47"/>
    <col min="11242" max="11242" width="2.83203125" style="47" customWidth="1"/>
    <col min="11243" max="11243" width="13.1640625" style="47" customWidth="1"/>
    <col min="11244" max="11244" width="60.33203125" style="47" customWidth="1"/>
    <col min="11245" max="11249" width="10.83203125" style="47" bestFit="1" customWidth="1"/>
    <col min="11250" max="11250" width="11.83203125" style="47" bestFit="1" customWidth="1"/>
    <col min="11251" max="11251" width="14.33203125" style="47" bestFit="1" customWidth="1"/>
    <col min="11252" max="11255" width="17.5" style="47" bestFit="1" customWidth="1"/>
    <col min="11256" max="11262" width="21" style="47" bestFit="1" customWidth="1"/>
    <col min="11263" max="11270" width="21.1640625" style="47" bestFit="1" customWidth="1"/>
    <col min="11271" max="11271" width="22.6640625" style="47" customWidth="1"/>
    <col min="11272" max="11272" width="22" style="47" customWidth="1"/>
    <col min="11273" max="11273" width="22.6640625" style="47" customWidth="1"/>
    <col min="11274" max="11279" width="21.1640625" style="47" bestFit="1" customWidth="1"/>
    <col min="11280" max="11280" width="19.5" style="47" customWidth="1"/>
    <col min="11281" max="11281" width="21.1640625" style="47" bestFit="1" customWidth="1"/>
    <col min="11282" max="11282" width="22.6640625" style="47" customWidth="1"/>
    <col min="11283" max="11283" width="22" style="47" customWidth="1"/>
    <col min="11284" max="11284" width="23.5" style="47" bestFit="1" customWidth="1"/>
    <col min="11285" max="11287" width="9.1640625" style="47"/>
    <col min="11288" max="11288" width="11.33203125" style="47" customWidth="1"/>
    <col min="11289" max="11289" width="10.33203125" style="47" customWidth="1"/>
    <col min="11290" max="11497" width="9.1640625" style="47"/>
    <col min="11498" max="11498" width="2.83203125" style="47" customWidth="1"/>
    <col min="11499" max="11499" width="13.1640625" style="47" customWidth="1"/>
    <col min="11500" max="11500" width="60.33203125" style="47" customWidth="1"/>
    <col min="11501" max="11505" width="10.83203125" style="47" bestFit="1" customWidth="1"/>
    <col min="11506" max="11506" width="11.83203125" style="47" bestFit="1" customWidth="1"/>
    <col min="11507" max="11507" width="14.33203125" style="47" bestFit="1" customWidth="1"/>
    <col min="11508" max="11511" width="17.5" style="47" bestFit="1" customWidth="1"/>
    <col min="11512" max="11518" width="21" style="47" bestFit="1" customWidth="1"/>
    <col min="11519" max="11526" width="21.1640625" style="47" bestFit="1" customWidth="1"/>
    <col min="11527" max="11527" width="22.6640625" style="47" customWidth="1"/>
    <col min="11528" max="11528" width="22" style="47" customWidth="1"/>
    <col min="11529" max="11529" width="22.6640625" style="47" customWidth="1"/>
    <col min="11530" max="11535" width="21.1640625" style="47" bestFit="1" customWidth="1"/>
    <col min="11536" max="11536" width="19.5" style="47" customWidth="1"/>
    <col min="11537" max="11537" width="21.1640625" style="47" bestFit="1" customWidth="1"/>
    <col min="11538" max="11538" width="22.6640625" style="47" customWidth="1"/>
    <col min="11539" max="11539" width="22" style="47" customWidth="1"/>
    <col min="11540" max="11540" width="23.5" style="47" bestFit="1" customWidth="1"/>
    <col min="11541" max="11543" width="9.1640625" style="47"/>
    <col min="11544" max="11544" width="11.33203125" style="47" customWidth="1"/>
    <col min="11545" max="11545" width="10.33203125" style="47" customWidth="1"/>
    <col min="11546" max="11753" width="9.1640625" style="47"/>
    <col min="11754" max="11754" width="2.83203125" style="47" customWidth="1"/>
    <col min="11755" max="11755" width="13.1640625" style="47" customWidth="1"/>
    <col min="11756" max="11756" width="60.33203125" style="47" customWidth="1"/>
    <col min="11757" max="11761" width="10.83203125" style="47" bestFit="1" customWidth="1"/>
    <col min="11762" max="11762" width="11.83203125" style="47" bestFit="1" customWidth="1"/>
    <col min="11763" max="11763" width="14.33203125" style="47" bestFit="1" customWidth="1"/>
    <col min="11764" max="11767" width="17.5" style="47" bestFit="1" customWidth="1"/>
    <col min="11768" max="11774" width="21" style="47" bestFit="1" customWidth="1"/>
    <col min="11775" max="11782" width="21.1640625" style="47" bestFit="1" customWidth="1"/>
    <col min="11783" max="11783" width="22.6640625" style="47" customWidth="1"/>
    <col min="11784" max="11784" width="22" style="47" customWidth="1"/>
    <col min="11785" max="11785" width="22.6640625" style="47" customWidth="1"/>
    <col min="11786" max="11791" width="21.1640625" style="47" bestFit="1" customWidth="1"/>
    <col min="11792" max="11792" width="19.5" style="47" customWidth="1"/>
    <col min="11793" max="11793" width="21.1640625" style="47" bestFit="1" customWidth="1"/>
    <col min="11794" max="11794" width="22.6640625" style="47" customWidth="1"/>
    <col min="11795" max="11795" width="22" style="47" customWidth="1"/>
    <col min="11796" max="11796" width="23.5" style="47" bestFit="1" customWidth="1"/>
    <col min="11797" max="11799" width="9.1640625" style="47"/>
    <col min="11800" max="11800" width="11.33203125" style="47" customWidth="1"/>
    <col min="11801" max="11801" width="10.33203125" style="47" customWidth="1"/>
    <col min="11802" max="12009" width="9.1640625" style="47"/>
    <col min="12010" max="12010" width="2.83203125" style="47" customWidth="1"/>
    <col min="12011" max="12011" width="13.1640625" style="47" customWidth="1"/>
    <col min="12012" max="12012" width="60.33203125" style="47" customWidth="1"/>
    <col min="12013" max="12017" width="10.83203125" style="47" bestFit="1" customWidth="1"/>
    <col min="12018" max="12018" width="11.83203125" style="47" bestFit="1" customWidth="1"/>
    <col min="12019" max="12019" width="14.33203125" style="47" bestFit="1" customWidth="1"/>
    <col min="12020" max="12023" width="17.5" style="47" bestFit="1" customWidth="1"/>
    <col min="12024" max="12030" width="21" style="47" bestFit="1" customWidth="1"/>
    <col min="12031" max="12038" width="21.1640625" style="47" bestFit="1" customWidth="1"/>
    <col min="12039" max="12039" width="22.6640625" style="47" customWidth="1"/>
    <col min="12040" max="12040" width="22" style="47" customWidth="1"/>
    <col min="12041" max="12041" width="22.6640625" style="47" customWidth="1"/>
    <col min="12042" max="12047" width="21.1640625" style="47" bestFit="1" customWidth="1"/>
    <col min="12048" max="12048" width="19.5" style="47" customWidth="1"/>
    <col min="12049" max="12049" width="21.1640625" style="47" bestFit="1" customWidth="1"/>
    <col min="12050" max="12050" width="22.6640625" style="47" customWidth="1"/>
    <col min="12051" max="12051" width="22" style="47" customWidth="1"/>
    <col min="12052" max="12052" width="23.5" style="47" bestFit="1" customWidth="1"/>
    <col min="12053" max="12055" width="9.1640625" style="47"/>
    <col min="12056" max="12056" width="11.33203125" style="47" customWidth="1"/>
    <col min="12057" max="12057" width="10.33203125" style="47" customWidth="1"/>
    <col min="12058" max="12265" width="9.1640625" style="47"/>
    <col min="12266" max="12266" width="2.83203125" style="47" customWidth="1"/>
    <col min="12267" max="12267" width="13.1640625" style="47" customWidth="1"/>
    <col min="12268" max="12268" width="60.33203125" style="47" customWidth="1"/>
    <col min="12269" max="12273" width="10.83203125" style="47" bestFit="1" customWidth="1"/>
    <col min="12274" max="12274" width="11.83203125" style="47" bestFit="1" customWidth="1"/>
    <col min="12275" max="12275" width="14.33203125" style="47" bestFit="1" customWidth="1"/>
    <col min="12276" max="12279" width="17.5" style="47" bestFit="1" customWidth="1"/>
    <col min="12280" max="12286" width="21" style="47" bestFit="1" customWidth="1"/>
    <col min="12287" max="12294" width="21.1640625" style="47" bestFit="1" customWidth="1"/>
    <col min="12295" max="12295" width="22.6640625" style="47" customWidth="1"/>
    <col min="12296" max="12296" width="22" style="47" customWidth="1"/>
    <col min="12297" max="12297" width="22.6640625" style="47" customWidth="1"/>
    <col min="12298" max="12303" width="21.1640625" style="47" bestFit="1" customWidth="1"/>
    <col min="12304" max="12304" width="19.5" style="47" customWidth="1"/>
    <col min="12305" max="12305" width="21.1640625" style="47" bestFit="1" customWidth="1"/>
    <col min="12306" max="12306" width="22.6640625" style="47" customWidth="1"/>
    <col min="12307" max="12307" width="22" style="47" customWidth="1"/>
    <col min="12308" max="12308" width="23.5" style="47" bestFit="1" customWidth="1"/>
    <col min="12309" max="12311" width="9.1640625" style="47"/>
    <col min="12312" max="12312" width="11.33203125" style="47" customWidth="1"/>
    <col min="12313" max="12313" width="10.33203125" style="47" customWidth="1"/>
    <col min="12314" max="12521" width="9.1640625" style="47"/>
    <col min="12522" max="12522" width="2.83203125" style="47" customWidth="1"/>
    <col min="12523" max="12523" width="13.1640625" style="47" customWidth="1"/>
    <col min="12524" max="12524" width="60.33203125" style="47" customWidth="1"/>
    <col min="12525" max="12529" width="10.83203125" style="47" bestFit="1" customWidth="1"/>
    <col min="12530" max="12530" width="11.83203125" style="47" bestFit="1" customWidth="1"/>
    <col min="12531" max="12531" width="14.33203125" style="47" bestFit="1" customWidth="1"/>
    <col min="12532" max="12535" width="17.5" style="47" bestFit="1" customWidth="1"/>
    <col min="12536" max="12542" width="21" style="47" bestFit="1" customWidth="1"/>
    <col min="12543" max="12550" width="21.1640625" style="47" bestFit="1" customWidth="1"/>
    <col min="12551" max="12551" width="22.6640625" style="47" customWidth="1"/>
    <col min="12552" max="12552" width="22" style="47" customWidth="1"/>
    <col min="12553" max="12553" width="22.6640625" style="47" customWidth="1"/>
    <col min="12554" max="12559" width="21.1640625" style="47" bestFit="1" customWidth="1"/>
    <col min="12560" max="12560" width="19.5" style="47" customWidth="1"/>
    <col min="12561" max="12561" width="21.1640625" style="47" bestFit="1" customWidth="1"/>
    <col min="12562" max="12562" width="22.6640625" style="47" customWidth="1"/>
    <col min="12563" max="12563" width="22" style="47" customWidth="1"/>
    <col min="12564" max="12564" width="23.5" style="47" bestFit="1" customWidth="1"/>
    <col min="12565" max="12567" width="9.1640625" style="47"/>
    <col min="12568" max="12568" width="11.33203125" style="47" customWidth="1"/>
    <col min="12569" max="12569" width="10.33203125" style="47" customWidth="1"/>
    <col min="12570" max="12777" width="9.1640625" style="47"/>
    <col min="12778" max="12778" width="2.83203125" style="47" customWidth="1"/>
    <col min="12779" max="12779" width="13.1640625" style="47" customWidth="1"/>
    <col min="12780" max="12780" width="60.33203125" style="47" customWidth="1"/>
    <col min="12781" max="12785" width="10.83203125" style="47" bestFit="1" customWidth="1"/>
    <col min="12786" max="12786" width="11.83203125" style="47" bestFit="1" customWidth="1"/>
    <col min="12787" max="12787" width="14.33203125" style="47" bestFit="1" customWidth="1"/>
    <col min="12788" max="12791" width="17.5" style="47" bestFit="1" customWidth="1"/>
    <col min="12792" max="12798" width="21" style="47" bestFit="1" customWidth="1"/>
    <col min="12799" max="12806" width="21.1640625" style="47" bestFit="1" customWidth="1"/>
    <col min="12807" max="12807" width="22.6640625" style="47" customWidth="1"/>
    <col min="12808" max="12808" width="22" style="47" customWidth="1"/>
    <col min="12809" max="12809" width="22.6640625" style="47" customWidth="1"/>
    <col min="12810" max="12815" width="21.1640625" style="47" bestFit="1" customWidth="1"/>
    <col min="12816" max="12816" width="19.5" style="47" customWidth="1"/>
    <col min="12817" max="12817" width="21.1640625" style="47" bestFit="1" customWidth="1"/>
    <col min="12818" max="12818" width="22.6640625" style="47" customWidth="1"/>
    <col min="12819" max="12819" width="22" style="47" customWidth="1"/>
    <col min="12820" max="12820" width="23.5" style="47" bestFit="1" customWidth="1"/>
    <col min="12821" max="12823" width="9.1640625" style="47"/>
    <col min="12824" max="12824" width="11.33203125" style="47" customWidth="1"/>
    <col min="12825" max="12825" width="10.33203125" style="47" customWidth="1"/>
    <col min="12826" max="13033" width="9.1640625" style="47"/>
    <col min="13034" max="13034" width="2.83203125" style="47" customWidth="1"/>
    <col min="13035" max="13035" width="13.1640625" style="47" customWidth="1"/>
    <col min="13036" max="13036" width="60.33203125" style="47" customWidth="1"/>
    <col min="13037" max="13041" width="10.83203125" style="47" bestFit="1" customWidth="1"/>
    <col min="13042" max="13042" width="11.83203125" style="47" bestFit="1" customWidth="1"/>
    <col min="13043" max="13043" width="14.33203125" style="47" bestFit="1" customWidth="1"/>
    <col min="13044" max="13047" width="17.5" style="47" bestFit="1" customWidth="1"/>
    <col min="13048" max="13054" width="21" style="47" bestFit="1" customWidth="1"/>
    <col min="13055" max="13062" width="21.1640625" style="47" bestFit="1" customWidth="1"/>
    <col min="13063" max="13063" width="22.6640625" style="47" customWidth="1"/>
    <col min="13064" max="13064" width="22" style="47" customWidth="1"/>
    <col min="13065" max="13065" width="22.6640625" style="47" customWidth="1"/>
    <col min="13066" max="13071" width="21.1640625" style="47" bestFit="1" customWidth="1"/>
    <col min="13072" max="13072" width="19.5" style="47" customWidth="1"/>
    <col min="13073" max="13073" width="21.1640625" style="47" bestFit="1" customWidth="1"/>
    <col min="13074" max="13074" width="22.6640625" style="47" customWidth="1"/>
    <col min="13075" max="13075" width="22" style="47" customWidth="1"/>
    <col min="13076" max="13076" width="23.5" style="47" bestFit="1" customWidth="1"/>
    <col min="13077" max="13079" width="9.1640625" style="47"/>
    <col min="13080" max="13080" width="11.33203125" style="47" customWidth="1"/>
    <col min="13081" max="13081" width="10.33203125" style="47" customWidth="1"/>
    <col min="13082" max="13289" width="9.1640625" style="47"/>
    <col min="13290" max="13290" width="2.83203125" style="47" customWidth="1"/>
    <col min="13291" max="13291" width="13.1640625" style="47" customWidth="1"/>
    <col min="13292" max="13292" width="60.33203125" style="47" customWidth="1"/>
    <col min="13293" max="13297" width="10.83203125" style="47" bestFit="1" customWidth="1"/>
    <col min="13298" max="13298" width="11.83203125" style="47" bestFit="1" customWidth="1"/>
    <col min="13299" max="13299" width="14.33203125" style="47" bestFit="1" customWidth="1"/>
    <col min="13300" max="13303" width="17.5" style="47" bestFit="1" customWidth="1"/>
    <col min="13304" max="13310" width="21" style="47" bestFit="1" customWidth="1"/>
    <col min="13311" max="13318" width="21.1640625" style="47" bestFit="1" customWidth="1"/>
    <col min="13319" max="13319" width="22.6640625" style="47" customWidth="1"/>
    <col min="13320" max="13320" width="22" style="47" customWidth="1"/>
    <col min="13321" max="13321" width="22.6640625" style="47" customWidth="1"/>
    <col min="13322" max="13327" width="21.1640625" style="47" bestFit="1" customWidth="1"/>
    <col min="13328" max="13328" width="19.5" style="47" customWidth="1"/>
    <col min="13329" max="13329" width="21.1640625" style="47" bestFit="1" customWidth="1"/>
    <col min="13330" max="13330" width="22.6640625" style="47" customWidth="1"/>
    <col min="13331" max="13331" width="22" style="47" customWidth="1"/>
    <col min="13332" max="13332" width="23.5" style="47" bestFit="1" customWidth="1"/>
    <col min="13333" max="13335" width="9.1640625" style="47"/>
    <col min="13336" max="13336" width="11.33203125" style="47" customWidth="1"/>
    <col min="13337" max="13337" width="10.33203125" style="47" customWidth="1"/>
    <col min="13338" max="13545" width="9.1640625" style="47"/>
    <col min="13546" max="13546" width="2.83203125" style="47" customWidth="1"/>
    <col min="13547" max="13547" width="13.1640625" style="47" customWidth="1"/>
    <col min="13548" max="13548" width="60.33203125" style="47" customWidth="1"/>
    <col min="13549" max="13553" width="10.83203125" style="47" bestFit="1" customWidth="1"/>
    <col min="13554" max="13554" width="11.83203125" style="47" bestFit="1" customWidth="1"/>
    <col min="13555" max="13555" width="14.33203125" style="47" bestFit="1" customWidth="1"/>
    <col min="13556" max="13559" width="17.5" style="47" bestFit="1" customWidth="1"/>
    <col min="13560" max="13566" width="21" style="47" bestFit="1" customWidth="1"/>
    <col min="13567" max="13574" width="21.1640625" style="47" bestFit="1" customWidth="1"/>
    <col min="13575" max="13575" width="22.6640625" style="47" customWidth="1"/>
    <col min="13576" max="13576" width="22" style="47" customWidth="1"/>
    <col min="13577" max="13577" width="22.6640625" style="47" customWidth="1"/>
    <col min="13578" max="13583" width="21.1640625" style="47" bestFit="1" customWidth="1"/>
    <col min="13584" max="13584" width="19.5" style="47" customWidth="1"/>
    <col min="13585" max="13585" width="21.1640625" style="47" bestFit="1" customWidth="1"/>
    <col min="13586" max="13586" width="22.6640625" style="47" customWidth="1"/>
    <col min="13587" max="13587" width="22" style="47" customWidth="1"/>
    <col min="13588" max="13588" width="23.5" style="47" bestFit="1" customWidth="1"/>
    <col min="13589" max="13591" width="9.1640625" style="47"/>
    <col min="13592" max="13592" width="11.33203125" style="47" customWidth="1"/>
    <col min="13593" max="13593" width="10.33203125" style="47" customWidth="1"/>
    <col min="13594" max="13801" width="9.1640625" style="47"/>
    <col min="13802" max="13802" width="2.83203125" style="47" customWidth="1"/>
    <col min="13803" max="13803" width="13.1640625" style="47" customWidth="1"/>
    <col min="13804" max="13804" width="60.33203125" style="47" customWidth="1"/>
    <col min="13805" max="13809" width="10.83203125" style="47" bestFit="1" customWidth="1"/>
    <col min="13810" max="13810" width="11.83203125" style="47" bestFit="1" customWidth="1"/>
    <col min="13811" max="13811" width="14.33203125" style="47" bestFit="1" customWidth="1"/>
    <col min="13812" max="13815" width="17.5" style="47" bestFit="1" customWidth="1"/>
    <col min="13816" max="13822" width="21" style="47" bestFit="1" customWidth="1"/>
    <col min="13823" max="13830" width="21.1640625" style="47" bestFit="1" customWidth="1"/>
    <col min="13831" max="13831" width="22.6640625" style="47" customWidth="1"/>
    <col min="13832" max="13832" width="22" style="47" customWidth="1"/>
    <col min="13833" max="13833" width="22.6640625" style="47" customWidth="1"/>
    <col min="13834" max="13839" width="21.1640625" style="47" bestFit="1" customWidth="1"/>
    <col min="13840" max="13840" width="19.5" style="47" customWidth="1"/>
    <col min="13841" max="13841" width="21.1640625" style="47" bestFit="1" customWidth="1"/>
    <col min="13842" max="13842" width="22.6640625" style="47" customWidth="1"/>
    <col min="13843" max="13843" width="22" style="47" customWidth="1"/>
    <col min="13844" max="13844" width="23.5" style="47" bestFit="1" customWidth="1"/>
    <col min="13845" max="13847" width="9.1640625" style="47"/>
    <col min="13848" max="13848" width="11.33203125" style="47" customWidth="1"/>
    <col min="13849" max="13849" width="10.33203125" style="47" customWidth="1"/>
    <col min="13850" max="14057" width="9.1640625" style="47"/>
    <col min="14058" max="14058" width="2.83203125" style="47" customWidth="1"/>
    <col min="14059" max="14059" width="13.1640625" style="47" customWidth="1"/>
    <col min="14060" max="14060" width="60.33203125" style="47" customWidth="1"/>
    <col min="14061" max="14065" width="10.83203125" style="47" bestFit="1" customWidth="1"/>
    <col min="14066" max="14066" width="11.83203125" style="47" bestFit="1" customWidth="1"/>
    <col min="14067" max="14067" width="14.33203125" style="47" bestFit="1" customWidth="1"/>
    <col min="14068" max="14071" width="17.5" style="47" bestFit="1" customWidth="1"/>
    <col min="14072" max="14078" width="21" style="47" bestFit="1" customWidth="1"/>
    <col min="14079" max="14086" width="21.1640625" style="47" bestFit="1" customWidth="1"/>
    <col min="14087" max="14087" width="22.6640625" style="47" customWidth="1"/>
    <col min="14088" max="14088" width="22" style="47" customWidth="1"/>
    <col min="14089" max="14089" width="22.6640625" style="47" customWidth="1"/>
    <col min="14090" max="14095" width="21.1640625" style="47" bestFit="1" customWidth="1"/>
    <col min="14096" max="14096" width="19.5" style="47" customWidth="1"/>
    <col min="14097" max="14097" width="21.1640625" style="47" bestFit="1" customWidth="1"/>
    <col min="14098" max="14098" width="22.6640625" style="47" customWidth="1"/>
    <col min="14099" max="14099" width="22" style="47" customWidth="1"/>
    <col min="14100" max="14100" width="23.5" style="47" bestFit="1" customWidth="1"/>
    <col min="14101" max="14103" width="9.1640625" style="47"/>
    <col min="14104" max="14104" width="11.33203125" style="47" customWidth="1"/>
    <col min="14105" max="14105" width="10.33203125" style="47" customWidth="1"/>
    <col min="14106" max="14313" width="9.1640625" style="47"/>
    <col min="14314" max="14314" width="2.83203125" style="47" customWidth="1"/>
    <col min="14315" max="14315" width="13.1640625" style="47" customWidth="1"/>
    <col min="14316" max="14316" width="60.33203125" style="47" customWidth="1"/>
    <col min="14317" max="14321" width="10.83203125" style="47" bestFit="1" customWidth="1"/>
    <col min="14322" max="14322" width="11.83203125" style="47" bestFit="1" customWidth="1"/>
    <col min="14323" max="14323" width="14.33203125" style="47" bestFit="1" customWidth="1"/>
    <col min="14324" max="14327" width="17.5" style="47" bestFit="1" customWidth="1"/>
    <col min="14328" max="14334" width="21" style="47" bestFit="1" customWidth="1"/>
    <col min="14335" max="14342" width="21.1640625" style="47" bestFit="1" customWidth="1"/>
    <col min="14343" max="14343" width="22.6640625" style="47" customWidth="1"/>
    <col min="14344" max="14344" width="22" style="47" customWidth="1"/>
    <col min="14345" max="14345" width="22.6640625" style="47" customWidth="1"/>
    <col min="14346" max="14351" width="21.1640625" style="47" bestFit="1" customWidth="1"/>
    <col min="14352" max="14352" width="19.5" style="47" customWidth="1"/>
    <col min="14353" max="14353" width="21.1640625" style="47" bestFit="1" customWidth="1"/>
    <col min="14354" max="14354" width="22.6640625" style="47" customWidth="1"/>
    <col min="14355" max="14355" width="22" style="47" customWidth="1"/>
    <col min="14356" max="14356" width="23.5" style="47" bestFit="1" customWidth="1"/>
    <col min="14357" max="14359" width="9.1640625" style="47"/>
    <col min="14360" max="14360" width="11.33203125" style="47" customWidth="1"/>
    <col min="14361" max="14361" width="10.33203125" style="47" customWidth="1"/>
    <col min="14362" max="14569" width="9.1640625" style="47"/>
    <col min="14570" max="14570" width="2.83203125" style="47" customWidth="1"/>
    <col min="14571" max="14571" width="13.1640625" style="47" customWidth="1"/>
    <col min="14572" max="14572" width="60.33203125" style="47" customWidth="1"/>
    <col min="14573" max="14577" width="10.83203125" style="47" bestFit="1" customWidth="1"/>
    <col min="14578" max="14578" width="11.83203125" style="47" bestFit="1" customWidth="1"/>
    <col min="14579" max="14579" width="14.33203125" style="47" bestFit="1" customWidth="1"/>
    <col min="14580" max="14583" width="17.5" style="47" bestFit="1" customWidth="1"/>
    <col min="14584" max="14590" width="21" style="47" bestFit="1" customWidth="1"/>
    <col min="14591" max="14598" width="21.1640625" style="47" bestFit="1" customWidth="1"/>
    <col min="14599" max="14599" width="22.6640625" style="47" customWidth="1"/>
    <col min="14600" max="14600" width="22" style="47" customWidth="1"/>
    <col min="14601" max="14601" width="22.6640625" style="47" customWidth="1"/>
    <col min="14602" max="14607" width="21.1640625" style="47" bestFit="1" customWidth="1"/>
    <col min="14608" max="14608" width="19.5" style="47" customWidth="1"/>
    <col min="14609" max="14609" width="21.1640625" style="47" bestFit="1" customWidth="1"/>
    <col min="14610" max="14610" width="22.6640625" style="47" customWidth="1"/>
    <col min="14611" max="14611" width="22" style="47" customWidth="1"/>
    <col min="14612" max="14612" width="23.5" style="47" bestFit="1" customWidth="1"/>
    <col min="14613" max="14615" width="9.1640625" style="47"/>
    <col min="14616" max="14616" width="11.33203125" style="47" customWidth="1"/>
    <col min="14617" max="14617" width="10.33203125" style="47" customWidth="1"/>
    <col min="14618" max="14825" width="9.1640625" style="47"/>
    <col min="14826" max="14826" width="2.83203125" style="47" customWidth="1"/>
    <col min="14827" max="14827" width="13.1640625" style="47" customWidth="1"/>
    <col min="14828" max="14828" width="60.33203125" style="47" customWidth="1"/>
    <col min="14829" max="14833" width="10.83203125" style="47" bestFit="1" customWidth="1"/>
    <col min="14834" max="14834" width="11.83203125" style="47" bestFit="1" customWidth="1"/>
    <col min="14835" max="14835" width="14.33203125" style="47" bestFit="1" customWidth="1"/>
    <col min="14836" max="14839" width="17.5" style="47" bestFit="1" customWidth="1"/>
    <col min="14840" max="14846" width="21" style="47" bestFit="1" customWidth="1"/>
    <col min="14847" max="14854" width="21.1640625" style="47" bestFit="1" customWidth="1"/>
    <col min="14855" max="14855" width="22.6640625" style="47" customWidth="1"/>
    <col min="14856" max="14856" width="22" style="47" customWidth="1"/>
    <col min="14857" max="14857" width="22.6640625" style="47" customWidth="1"/>
    <col min="14858" max="14863" width="21.1640625" style="47" bestFit="1" customWidth="1"/>
    <col min="14864" max="14864" width="19.5" style="47" customWidth="1"/>
    <col min="14865" max="14865" width="21.1640625" style="47" bestFit="1" customWidth="1"/>
    <col min="14866" max="14866" width="22.6640625" style="47" customWidth="1"/>
    <col min="14867" max="14867" width="22" style="47" customWidth="1"/>
    <col min="14868" max="14868" width="23.5" style="47" bestFit="1" customWidth="1"/>
    <col min="14869" max="14871" width="9.1640625" style="47"/>
    <col min="14872" max="14872" width="11.33203125" style="47" customWidth="1"/>
    <col min="14873" max="14873" width="10.33203125" style="47" customWidth="1"/>
    <col min="14874" max="15081" width="9.1640625" style="47"/>
    <col min="15082" max="15082" width="2.83203125" style="47" customWidth="1"/>
    <col min="15083" max="15083" width="13.1640625" style="47" customWidth="1"/>
    <col min="15084" max="15084" width="60.33203125" style="47" customWidth="1"/>
    <col min="15085" max="15089" width="10.83203125" style="47" bestFit="1" customWidth="1"/>
    <col min="15090" max="15090" width="11.83203125" style="47" bestFit="1" customWidth="1"/>
    <col min="15091" max="15091" width="14.33203125" style="47" bestFit="1" customWidth="1"/>
    <col min="15092" max="15095" width="17.5" style="47" bestFit="1" customWidth="1"/>
    <col min="15096" max="15102" width="21" style="47" bestFit="1" customWidth="1"/>
    <col min="15103" max="15110" width="21.1640625" style="47" bestFit="1" customWidth="1"/>
    <col min="15111" max="15111" width="22.6640625" style="47" customWidth="1"/>
    <col min="15112" max="15112" width="22" style="47" customWidth="1"/>
    <col min="15113" max="15113" width="22.6640625" style="47" customWidth="1"/>
    <col min="15114" max="15119" width="21.1640625" style="47" bestFit="1" customWidth="1"/>
    <col min="15120" max="15120" width="19.5" style="47" customWidth="1"/>
    <col min="15121" max="15121" width="21.1640625" style="47" bestFit="1" customWidth="1"/>
    <col min="15122" max="15122" width="22.6640625" style="47" customWidth="1"/>
    <col min="15123" max="15123" width="22" style="47" customWidth="1"/>
    <col min="15124" max="15124" width="23.5" style="47" bestFit="1" customWidth="1"/>
    <col min="15125" max="15127" width="9.1640625" style="47"/>
    <col min="15128" max="15128" width="11.33203125" style="47" customWidth="1"/>
    <col min="15129" max="15129" width="10.33203125" style="47" customWidth="1"/>
    <col min="15130" max="15337" width="9.1640625" style="47"/>
    <col min="15338" max="15338" width="2.83203125" style="47" customWidth="1"/>
    <col min="15339" max="15339" width="13.1640625" style="47" customWidth="1"/>
    <col min="15340" max="15340" width="60.33203125" style="47" customWidth="1"/>
    <col min="15341" max="15345" width="10.83203125" style="47" bestFit="1" customWidth="1"/>
    <col min="15346" max="15346" width="11.83203125" style="47" bestFit="1" customWidth="1"/>
    <col min="15347" max="15347" width="14.33203125" style="47" bestFit="1" customWidth="1"/>
    <col min="15348" max="15351" width="17.5" style="47" bestFit="1" customWidth="1"/>
    <col min="15352" max="15358" width="21" style="47" bestFit="1" customWidth="1"/>
    <col min="15359" max="15366" width="21.1640625" style="47" bestFit="1" customWidth="1"/>
    <col min="15367" max="15367" width="22.6640625" style="47" customWidth="1"/>
    <col min="15368" max="15368" width="22" style="47" customWidth="1"/>
    <col min="15369" max="15369" width="22.6640625" style="47" customWidth="1"/>
    <col min="15370" max="15375" width="21.1640625" style="47" bestFit="1" customWidth="1"/>
    <col min="15376" max="15376" width="19.5" style="47" customWidth="1"/>
    <col min="15377" max="15377" width="21.1640625" style="47" bestFit="1" customWidth="1"/>
    <col min="15378" max="15378" width="22.6640625" style="47" customWidth="1"/>
    <col min="15379" max="15379" width="22" style="47" customWidth="1"/>
    <col min="15380" max="15380" width="23.5" style="47" bestFit="1" customWidth="1"/>
    <col min="15381" max="15383" width="9.1640625" style="47"/>
    <col min="15384" max="15384" width="11.33203125" style="47" customWidth="1"/>
    <col min="15385" max="15385" width="10.33203125" style="47" customWidth="1"/>
    <col min="15386" max="15593" width="9.1640625" style="47"/>
    <col min="15594" max="15594" width="2.83203125" style="47" customWidth="1"/>
    <col min="15595" max="15595" width="13.1640625" style="47" customWidth="1"/>
    <col min="15596" max="15596" width="60.33203125" style="47" customWidth="1"/>
    <col min="15597" max="15601" width="10.83203125" style="47" bestFit="1" customWidth="1"/>
    <col min="15602" max="15602" width="11.83203125" style="47" bestFit="1" customWidth="1"/>
    <col min="15603" max="15603" width="14.33203125" style="47" bestFit="1" customWidth="1"/>
    <col min="15604" max="15607" width="17.5" style="47" bestFit="1" customWidth="1"/>
    <col min="15608" max="15614" width="21" style="47" bestFit="1" customWidth="1"/>
    <col min="15615" max="15622" width="21.1640625" style="47" bestFit="1" customWidth="1"/>
    <col min="15623" max="15623" width="22.6640625" style="47" customWidth="1"/>
    <col min="15624" max="15624" width="22" style="47" customWidth="1"/>
    <col min="15625" max="15625" width="22.6640625" style="47" customWidth="1"/>
    <col min="15626" max="15631" width="21.1640625" style="47" bestFit="1" customWidth="1"/>
    <col min="15632" max="15632" width="19.5" style="47" customWidth="1"/>
    <col min="15633" max="15633" width="21.1640625" style="47" bestFit="1" customWidth="1"/>
    <col min="15634" max="15634" width="22.6640625" style="47" customWidth="1"/>
    <col min="15635" max="15635" width="22" style="47" customWidth="1"/>
    <col min="15636" max="15636" width="23.5" style="47" bestFit="1" customWidth="1"/>
    <col min="15637" max="15639" width="9.1640625" style="47"/>
    <col min="15640" max="15640" width="11.33203125" style="47" customWidth="1"/>
    <col min="15641" max="15641" width="10.33203125" style="47" customWidth="1"/>
    <col min="15642" max="15849" width="9.1640625" style="47"/>
    <col min="15850" max="15850" width="2.83203125" style="47" customWidth="1"/>
    <col min="15851" max="15851" width="13.1640625" style="47" customWidth="1"/>
    <col min="15852" max="15852" width="60.33203125" style="47" customWidth="1"/>
    <col min="15853" max="15857" width="10.83203125" style="47" bestFit="1" customWidth="1"/>
    <col min="15858" max="15858" width="11.83203125" style="47" bestFit="1" customWidth="1"/>
    <col min="15859" max="15859" width="14.33203125" style="47" bestFit="1" customWidth="1"/>
    <col min="15860" max="15863" width="17.5" style="47" bestFit="1" customWidth="1"/>
    <col min="15864" max="15870" width="21" style="47" bestFit="1" customWidth="1"/>
    <col min="15871" max="15878" width="21.1640625" style="47" bestFit="1" customWidth="1"/>
    <col min="15879" max="15879" width="22.6640625" style="47" customWidth="1"/>
    <col min="15880" max="15880" width="22" style="47" customWidth="1"/>
    <col min="15881" max="15881" width="22.6640625" style="47" customWidth="1"/>
    <col min="15882" max="15887" width="21.1640625" style="47" bestFit="1" customWidth="1"/>
    <col min="15888" max="15888" width="19.5" style="47" customWidth="1"/>
    <col min="15889" max="15889" width="21.1640625" style="47" bestFit="1" customWidth="1"/>
    <col min="15890" max="15890" width="22.6640625" style="47" customWidth="1"/>
    <col min="15891" max="15891" width="22" style="47" customWidth="1"/>
    <col min="15892" max="15892" width="23.5" style="47" bestFit="1" customWidth="1"/>
    <col min="15893" max="15895" width="9.1640625" style="47"/>
    <col min="15896" max="15896" width="11.33203125" style="47" customWidth="1"/>
    <col min="15897" max="15897" width="10.33203125" style="47" customWidth="1"/>
    <col min="15898" max="16105" width="9.1640625" style="47"/>
    <col min="16106" max="16106" width="2.83203125" style="47" customWidth="1"/>
    <col min="16107" max="16107" width="13.1640625" style="47" customWidth="1"/>
    <col min="16108" max="16108" width="60.33203125" style="47" customWidth="1"/>
    <col min="16109" max="16113" width="10.83203125" style="47" bestFit="1" customWidth="1"/>
    <col min="16114" max="16114" width="11.83203125" style="47" bestFit="1" customWidth="1"/>
    <col min="16115" max="16115" width="14.33203125" style="47" bestFit="1" customWidth="1"/>
    <col min="16116" max="16119" width="17.5" style="47" bestFit="1" customWidth="1"/>
    <col min="16120" max="16126" width="21" style="47" bestFit="1" customWidth="1"/>
    <col min="16127" max="16134" width="21.1640625" style="47" bestFit="1" customWidth="1"/>
    <col min="16135" max="16135" width="22.6640625" style="47" customWidth="1"/>
    <col min="16136" max="16136" width="22" style="47" customWidth="1"/>
    <col min="16137" max="16137" width="22.6640625" style="47" customWidth="1"/>
    <col min="16138" max="16143" width="21.1640625" style="47" bestFit="1" customWidth="1"/>
    <col min="16144" max="16144" width="19.5" style="47" customWidth="1"/>
    <col min="16145" max="16145" width="21.1640625" style="47" bestFit="1" customWidth="1"/>
    <col min="16146" max="16146" width="22.6640625" style="47" customWidth="1"/>
    <col min="16147" max="16147" width="22" style="47" customWidth="1"/>
    <col min="16148" max="16148" width="23.5" style="47" bestFit="1" customWidth="1"/>
    <col min="16149" max="16151" width="9.1640625" style="47"/>
    <col min="16152" max="16152" width="11.33203125" style="47" customWidth="1"/>
    <col min="16153" max="16153" width="10.33203125" style="47" customWidth="1"/>
    <col min="16154" max="16384" width="9.1640625" style="47"/>
  </cols>
  <sheetData>
    <row r="1" spans="2:26">
      <c r="B1" s="46"/>
    </row>
    <row r="2" spans="2:26">
      <c r="B2" s="1057" t="str">
        <f>Index!B2</f>
        <v>Jaigad Power Transco Ltd</v>
      </c>
      <c r="C2" s="1057"/>
      <c r="D2" s="1057"/>
      <c r="E2" s="1057"/>
      <c r="F2" s="1057"/>
      <c r="G2" s="1057"/>
      <c r="H2" s="1057"/>
      <c r="I2" s="1057"/>
      <c r="J2" s="1057"/>
      <c r="K2" s="1057"/>
      <c r="L2" s="1057"/>
      <c r="M2" s="1057"/>
      <c r="N2" s="1057"/>
      <c r="O2" s="1057"/>
      <c r="P2" s="1057"/>
      <c r="Q2" s="1057"/>
      <c r="R2" s="1057"/>
      <c r="S2" s="1057"/>
      <c r="T2" s="1057"/>
      <c r="U2" s="48"/>
      <c r="V2" s="48"/>
      <c r="W2" s="48"/>
      <c r="X2" s="48"/>
      <c r="Y2" s="48"/>
      <c r="Z2" s="48"/>
    </row>
    <row r="3" spans="2:26">
      <c r="B3" s="1184" t="s">
        <v>435</v>
      </c>
      <c r="C3" s="1184"/>
      <c r="D3" s="1184"/>
      <c r="E3" s="1184"/>
      <c r="F3" s="1184"/>
      <c r="G3" s="1184"/>
      <c r="H3" s="1184"/>
      <c r="I3" s="1184"/>
      <c r="J3" s="1184"/>
      <c r="K3" s="1184"/>
      <c r="L3" s="1184"/>
      <c r="M3" s="1184"/>
      <c r="N3" s="1184"/>
      <c r="O3" s="1184"/>
      <c r="P3" s="1184"/>
      <c r="Q3" s="1184"/>
      <c r="R3" s="1184"/>
      <c r="S3" s="1184"/>
      <c r="T3" s="1184"/>
      <c r="U3" s="49"/>
      <c r="V3" s="49"/>
      <c r="W3" s="49"/>
      <c r="X3" s="50"/>
      <c r="Y3" s="50"/>
      <c r="Z3" s="50"/>
    </row>
    <row r="4" spans="2:26">
      <c r="B4" s="1211" t="s">
        <v>703</v>
      </c>
      <c r="C4" s="1211"/>
      <c r="D4" s="1211"/>
      <c r="E4" s="1211"/>
      <c r="F4" s="1211"/>
      <c r="G4" s="1211"/>
      <c r="H4" s="1211"/>
      <c r="I4" s="1211"/>
      <c r="J4" s="1211"/>
      <c r="K4" s="1211"/>
      <c r="L4" s="1211"/>
      <c r="M4" s="1211"/>
      <c r="N4" s="1211"/>
      <c r="O4" s="1211"/>
      <c r="P4" s="1211"/>
      <c r="Q4" s="1211"/>
      <c r="R4" s="1211"/>
      <c r="S4" s="1211"/>
      <c r="T4" s="1211"/>
      <c r="U4" s="52"/>
      <c r="V4" s="52"/>
      <c r="W4" s="52"/>
      <c r="X4" s="52"/>
      <c r="Y4" s="52"/>
      <c r="Z4" s="52"/>
    </row>
    <row r="5" spans="2:26">
      <c r="B5" s="53"/>
      <c r="C5" s="53"/>
      <c r="D5" s="53"/>
      <c r="E5" s="52"/>
      <c r="F5" s="52"/>
      <c r="G5" s="52"/>
      <c r="H5" s="52"/>
      <c r="I5" s="52"/>
      <c r="J5" s="52"/>
      <c r="K5" s="52"/>
      <c r="L5" s="52"/>
      <c r="M5" s="52"/>
      <c r="N5" s="52"/>
      <c r="O5" s="52"/>
      <c r="P5" s="52"/>
      <c r="Q5" s="52"/>
      <c r="R5" s="52"/>
      <c r="S5" s="52"/>
      <c r="T5" s="52"/>
      <c r="V5" s="52"/>
      <c r="W5" s="52"/>
      <c r="X5" s="52"/>
      <c r="Y5" s="52"/>
      <c r="Z5" s="52"/>
    </row>
    <row r="6" spans="2:26">
      <c r="B6" s="1212" t="s">
        <v>453</v>
      </c>
      <c r="C6" s="54" t="s">
        <v>454</v>
      </c>
      <c r="D6" s="993" t="s">
        <v>455</v>
      </c>
      <c r="E6" s="993"/>
      <c r="F6" s="993"/>
      <c r="G6" s="993"/>
      <c r="H6" s="993" t="s">
        <v>455</v>
      </c>
      <c r="I6" s="993"/>
      <c r="J6" s="993"/>
      <c r="K6" s="993"/>
      <c r="L6" s="993" t="s">
        <v>456</v>
      </c>
      <c r="M6" s="993"/>
      <c r="N6" s="993"/>
      <c r="O6" s="993"/>
      <c r="P6" s="993" t="s">
        <v>457</v>
      </c>
      <c r="Q6" s="993"/>
      <c r="R6" s="993"/>
      <c r="S6" s="993"/>
      <c r="T6" s="55"/>
      <c r="U6" s="56"/>
      <c r="V6" s="56"/>
      <c r="W6" s="56"/>
    </row>
    <row r="7" spans="2:26" ht="16">
      <c r="B7" s="1213"/>
      <c r="C7" s="57" t="s">
        <v>458</v>
      </c>
      <c r="D7" s="58" t="s">
        <v>459</v>
      </c>
      <c r="E7" s="58" t="s">
        <v>460</v>
      </c>
      <c r="F7" s="58" t="s">
        <v>461</v>
      </c>
      <c r="G7" s="58" t="s">
        <v>462</v>
      </c>
      <c r="H7" s="58" t="s">
        <v>459</v>
      </c>
      <c r="I7" s="58" t="s">
        <v>460</v>
      </c>
      <c r="J7" s="58" t="s">
        <v>461</v>
      </c>
      <c r="K7" s="58" t="s">
        <v>462</v>
      </c>
      <c r="L7" s="58" t="s">
        <v>459</v>
      </c>
      <c r="M7" s="58" t="s">
        <v>460</v>
      </c>
      <c r="N7" s="58" t="s">
        <v>461</v>
      </c>
      <c r="O7" s="58" t="s">
        <v>462</v>
      </c>
      <c r="P7" s="58" t="s">
        <v>459</v>
      </c>
      <c r="Q7" s="58" t="s">
        <v>460</v>
      </c>
      <c r="R7" s="58" t="s">
        <v>461</v>
      </c>
      <c r="S7" s="58" t="s">
        <v>462</v>
      </c>
      <c r="T7" s="58" t="s">
        <v>23</v>
      </c>
      <c r="U7" s="56"/>
      <c r="V7" s="56"/>
    </row>
    <row r="8" spans="2:26">
      <c r="B8" s="1214"/>
      <c r="C8" s="54" t="s">
        <v>463</v>
      </c>
      <c r="D8" s="55"/>
      <c r="E8" s="55"/>
      <c r="F8" s="55"/>
      <c r="G8" s="55"/>
      <c r="H8" s="55"/>
      <c r="I8" s="55"/>
      <c r="J8" s="55"/>
      <c r="K8" s="55"/>
      <c r="L8" s="55"/>
      <c r="M8" s="55"/>
      <c r="N8" s="55"/>
      <c r="O8" s="55"/>
      <c r="P8" s="55"/>
      <c r="Q8" s="55"/>
      <c r="R8" s="55"/>
      <c r="S8" s="55"/>
      <c r="T8" s="55"/>
      <c r="U8" s="56"/>
      <c r="V8" s="56"/>
    </row>
    <row r="9" spans="2:26">
      <c r="B9" s="59"/>
      <c r="C9" s="59"/>
      <c r="D9" s="59"/>
      <c r="E9" s="59"/>
      <c r="F9" s="59"/>
      <c r="G9" s="59"/>
      <c r="H9" s="59"/>
      <c r="I9" s="59"/>
      <c r="J9" s="59"/>
      <c r="K9" s="59"/>
      <c r="L9" s="59"/>
      <c r="M9" s="59"/>
      <c r="N9" s="59"/>
      <c r="O9" s="59"/>
      <c r="P9" s="59"/>
      <c r="Q9" s="59"/>
      <c r="R9" s="59"/>
      <c r="S9" s="59"/>
      <c r="T9" s="59"/>
      <c r="U9" s="56"/>
      <c r="V9" s="56"/>
    </row>
    <row r="10" spans="2:26">
      <c r="B10" s="60">
        <v>1.1000000000000001</v>
      </c>
      <c r="C10" s="61" t="s">
        <v>464</v>
      </c>
      <c r="D10" s="59"/>
      <c r="E10" s="59"/>
      <c r="F10" s="59"/>
      <c r="G10" s="59"/>
      <c r="H10" s="59"/>
      <c r="I10" s="59"/>
      <c r="J10" s="59"/>
      <c r="K10" s="59"/>
      <c r="L10" s="59"/>
      <c r="M10" s="59"/>
      <c r="N10" s="59"/>
      <c r="O10" s="59"/>
      <c r="P10" s="59"/>
      <c r="Q10" s="59"/>
      <c r="R10" s="59"/>
      <c r="S10" s="59"/>
      <c r="T10" s="59"/>
      <c r="U10" s="56"/>
      <c r="V10" s="56"/>
    </row>
    <row r="11" spans="2:26">
      <c r="B11" s="59"/>
      <c r="C11" s="59" t="s">
        <v>465</v>
      </c>
      <c r="D11" s="62"/>
      <c r="E11" s="62"/>
      <c r="F11" s="62"/>
      <c r="G11" s="62"/>
      <c r="H11" s="62"/>
      <c r="I11" s="62"/>
      <c r="J11" s="62"/>
      <c r="K11" s="62"/>
      <c r="L11" s="62"/>
      <c r="M11" s="62"/>
      <c r="N11" s="62"/>
      <c r="O11" s="62"/>
      <c r="P11" s="62"/>
      <c r="Q11" s="62"/>
      <c r="R11" s="62"/>
      <c r="S11" s="62"/>
      <c r="T11" s="63"/>
      <c r="U11" s="56"/>
      <c r="V11" s="56"/>
    </row>
    <row r="12" spans="2:26">
      <c r="B12" s="59"/>
      <c r="C12" s="59" t="s">
        <v>466</v>
      </c>
      <c r="D12" s="64"/>
      <c r="E12" s="64"/>
      <c r="F12" s="64"/>
      <c r="G12" s="64"/>
      <c r="H12" s="64"/>
      <c r="I12" s="64"/>
      <c r="J12" s="64"/>
      <c r="K12" s="64"/>
      <c r="L12" s="64"/>
      <c r="M12" s="64"/>
      <c r="N12" s="64"/>
      <c r="O12" s="64"/>
      <c r="P12" s="64"/>
      <c r="Q12" s="64"/>
      <c r="R12" s="64"/>
      <c r="S12" s="64"/>
      <c r="T12" s="63"/>
      <c r="U12" s="56"/>
      <c r="V12" s="56"/>
    </row>
    <row r="13" spans="2:26">
      <c r="B13" s="59"/>
      <c r="C13" s="59" t="s">
        <v>467</v>
      </c>
      <c r="D13" s="62"/>
      <c r="E13" s="62"/>
      <c r="F13" s="62"/>
      <c r="G13" s="62"/>
      <c r="H13" s="62"/>
      <c r="I13" s="62"/>
      <c r="J13" s="62"/>
      <c r="K13" s="62"/>
      <c r="L13" s="62"/>
      <c r="M13" s="62"/>
      <c r="N13" s="62"/>
      <c r="O13" s="62"/>
      <c r="P13" s="62"/>
      <c r="Q13" s="62"/>
      <c r="R13" s="62"/>
      <c r="S13" s="62"/>
      <c r="T13" s="65"/>
      <c r="U13" s="66"/>
      <c r="V13" s="56"/>
    </row>
    <row r="14" spans="2:26">
      <c r="B14" s="59"/>
      <c r="C14" s="59" t="s">
        <v>468</v>
      </c>
      <c r="D14" s="62"/>
      <c r="E14" s="62"/>
      <c r="F14" s="62"/>
      <c r="G14" s="62"/>
      <c r="H14" s="62"/>
      <c r="I14" s="62"/>
      <c r="J14" s="62"/>
      <c r="K14" s="62"/>
      <c r="L14" s="62"/>
      <c r="M14" s="62"/>
      <c r="N14" s="62"/>
      <c r="O14" s="62"/>
      <c r="P14" s="62"/>
      <c r="Q14" s="62"/>
      <c r="R14" s="62"/>
      <c r="S14" s="62"/>
      <c r="T14" s="63"/>
      <c r="U14" s="56"/>
      <c r="V14" s="56"/>
    </row>
    <row r="15" spans="2:26">
      <c r="B15" s="59"/>
      <c r="C15" s="59" t="s">
        <v>469</v>
      </c>
      <c r="D15" s="62"/>
      <c r="E15" s="62"/>
      <c r="F15" s="62"/>
      <c r="G15" s="62"/>
      <c r="H15" s="62"/>
      <c r="I15" s="62"/>
      <c r="J15" s="62"/>
      <c r="K15" s="62"/>
      <c r="L15" s="62"/>
      <c r="M15" s="62"/>
      <c r="N15" s="62"/>
      <c r="O15" s="62"/>
      <c r="P15" s="62"/>
      <c r="Q15" s="62"/>
      <c r="R15" s="62"/>
      <c r="S15" s="62"/>
      <c r="T15" s="63"/>
      <c r="U15" s="56"/>
      <c r="V15" s="56"/>
    </row>
    <row r="16" spans="2:26">
      <c r="B16" s="59"/>
      <c r="C16" s="59"/>
      <c r="D16" s="62"/>
      <c r="E16" s="62"/>
      <c r="F16" s="62"/>
      <c r="G16" s="62"/>
      <c r="H16" s="62"/>
      <c r="I16" s="62"/>
      <c r="J16" s="62"/>
      <c r="K16" s="62"/>
      <c r="L16" s="62"/>
      <c r="M16" s="62"/>
      <c r="N16" s="62"/>
      <c r="O16" s="62"/>
      <c r="P16" s="62"/>
      <c r="Q16" s="62"/>
      <c r="R16" s="62"/>
      <c r="S16" s="62"/>
      <c r="T16" s="63"/>
      <c r="U16" s="56"/>
      <c r="V16" s="56"/>
    </row>
    <row r="17" spans="2:22" s="70" customFormat="1">
      <c r="B17" s="61">
        <v>1.2</v>
      </c>
      <c r="C17" s="61" t="s">
        <v>470</v>
      </c>
      <c r="D17" s="67"/>
      <c r="E17" s="67"/>
      <c r="F17" s="67"/>
      <c r="G17" s="67"/>
      <c r="H17" s="67"/>
      <c r="I17" s="67"/>
      <c r="J17" s="67"/>
      <c r="K17" s="67"/>
      <c r="L17" s="67"/>
      <c r="M17" s="67"/>
      <c r="N17" s="67"/>
      <c r="O17" s="67"/>
      <c r="P17" s="67"/>
      <c r="Q17" s="67"/>
      <c r="R17" s="67"/>
      <c r="S17" s="67"/>
      <c r="T17" s="68"/>
      <c r="U17" s="69"/>
      <c r="V17" s="69"/>
    </row>
    <row r="18" spans="2:22">
      <c r="B18" s="59"/>
      <c r="C18" s="59" t="s">
        <v>465</v>
      </c>
      <c r="D18" s="63"/>
      <c r="E18" s="63"/>
      <c r="F18" s="63"/>
      <c r="G18" s="63"/>
      <c r="H18" s="63"/>
      <c r="I18" s="63"/>
      <c r="J18" s="63"/>
      <c r="K18" s="63"/>
      <c r="L18" s="63"/>
      <c r="M18" s="63"/>
      <c r="N18" s="63"/>
      <c r="O18" s="63"/>
      <c r="P18" s="63"/>
      <c r="Q18" s="63"/>
      <c r="R18" s="63"/>
      <c r="S18" s="63"/>
      <c r="T18" s="63"/>
      <c r="U18" s="56"/>
      <c r="V18" s="56"/>
    </row>
    <row r="19" spans="2:22">
      <c r="B19" s="59"/>
      <c r="C19" s="59" t="s">
        <v>466</v>
      </c>
      <c r="D19" s="71"/>
      <c r="E19" s="71"/>
      <c r="F19" s="71"/>
      <c r="G19" s="71"/>
      <c r="H19" s="71"/>
      <c r="I19" s="71"/>
      <c r="J19" s="71"/>
      <c r="K19" s="71"/>
      <c r="L19" s="71"/>
      <c r="M19" s="71"/>
      <c r="N19" s="71"/>
      <c r="O19" s="71"/>
      <c r="P19" s="71"/>
      <c r="Q19" s="71"/>
      <c r="R19" s="71"/>
      <c r="S19" s="71"/>
      <c r="T19" s="63"/>
      <c r="U19" s="56"/>
      <c r="V19" s="56"/>
    </row>
    <row r="20" spans="2:22">
      <c r="B20" s="59"/>
      <c r="C20" s="59" t="s">
        <v>467</v>
      </c>
      <c r="D20" s="63"/>
      <c r="E20" s="63"/>
      <c r="F20" s="63"/>
      <c r="G20" s="63"/>
      <c r="H20" s="63"/>
      <c r="I20" s="63"/>
      <c r="J20" s="63"/>
      <c r="K20" s="63"/>
      <c r="L20" s="63"/>
      <c r="M20" s="63"/>
      <c r="N20" s="63"/>
      <c r="O20" s="63"/>
      <c r="P20" s="63"/>
      <c r="Q20" s="63"/>
      <c r="R20" s="63"/>
      <c r="S20" s="63"/>
      <c r="T20" s="65"/>
      <c r="U20" s="66"/>
      <c r="V20" s="56"/>
    </row>
    <row r="21" spans="2:22">
      <c r="B21" s="59"/>
      <c r="C21" s="59" t="s">
        <v>468</v>
      </c>
      <c r="D21" s="63"/>
      <c r="E21" s="63"/>
      <c r="F21" s="63"/>
      <c r="G21" s="63"/>
      <c r="H21" s="63"/>
      <c r="I21" s="63"/>
      <c r="J21" s="63"/>
      <c r="K21" s="63"/>
      <c r="L21" s="63"/>
      <c r="M21" s="63"/>
      <c r="N21" s="63"/>
      <c r="O21" s="63"/>
      <c r="P21" s="63"/>
      <c r="Q21" s="63"/>
      <c r="R21" s="63"/>
      <c r="S21" s="63"/>
      <c r="T21" s="63"/>
      <c r="U21" s="56"/>
      <c r="V21" s="56"/>
    </row>
    <row r="22" spans="2:22">
      <c r="B22" s="59"/>
      <c r="C22" s="59" t="s">
        <v>469</v>
      </c>
      <c r="D22" s="63"/>
      <c r="E22" s="63"/>
      <c r="F22" s="63"/>
      <c r="G22" s="63"/>
      <c r="H22" s="63"/>
      <c r="I22" s="63"/>
      <c r="J22" s="63"/>
      <c r="K22" s="63"/>
      <c r="L22" s="63"/>
      <c r="M22" s="63"/>
      <c r="N22" s="63"/>
      <c r="O22" s="63"/>
      <c r="P22" s="63"/>
      <c r="Q22" s="63"/>
      <c r="R22" s="63"/>
      <c r="S22" s="63"/>
      <c r="T22" s="63"/>
      <c r="U22" s="56"/>
      <c r="V22" s="56"/>
    </row>
    <row r="23" spans="2:22">
      <c r="B23" s="59"/>
      <c r="C23" s="59"/>
      <c r="D23" s="63"/>
      <c r="E23" s="63"/>
      <c r="F23" s="63"/>
      <c r="G23" s="63"/>
      <c r="H23" s="63"/>
      <c r="I23" s="63"/>
      <c r="J23" s="63"/>
      <c r="K23" s="63"/>
      <c r="L23" s="63"/>
      <c r="M23" s="63"/>
      <c r="N23" s="63"/>
      <c r="O23" s="63"/>
      <c r="P23" s="63"/>
      <c r="Q23" s="63"/>
      <c r="R23" s="63"/>
      <c r="S23" s="63"/>
      <c r="T23" s="63"/>
      <c r="U23" s="56"/>
      <c r="V23" s="56"/>
    </row>
    <row r="24" spans="2:22">
      <c r="B24" s="61">
        <v>1.3</v>
      </c>
      <c r="C24" s="61" t="s">
        <v>471</v>
      </c>
      <c r="D24" s="63"/>
      <c r="E24" s="63"/>
      <c r="F24" s="63"/>
      <c r="G24" s="63"/>
      <c r="H24" s="63"/>
      <c r="I24" s="63"/>
      <c r="J24" s="63"/>
      <c r="K24" s="63"/>
      <c r="L24" s="63"/>
      <c r="M24" s="63"/>
      <c r="N24" s="63"/>
      <c r="O24" s="63"/>
      <c r="P24" s="63"/>
      <c r="Q24" s="63"/>
      <c r="R24" s="63"/>
      <c r="S24" s="63"/>
      <c r="T24" s="63"/>
      <c r="U24" s="56"/>
      <c r="V24" s="56"/>
    </row>
    <row r="25" spans="2:22">
      <c r="B25" s="59"/>
      <c r="C25" s="59" t="s">
        <v>465</v>
      </c>
      <c r="D25" s="63"/>
      <c r="E25" s="63"/>
      <c r="F25" s="63"/>
      <c r="G25" s="63"/>
      <c r="H25" s="63"/>
      <c r="I25" s="63"/>
      <c r="J25" s="63"/>
      <c r="K25" s="63"/>
      <c r="L25" s="63"/>
      <c r="M25" s="63"/>
      <c r="N25" s="63"/>
      <c r="O25" s="63"/>
      <c r="P25" s="63"/>
      <c r="Q25" s="63"/>
      <c r="R25" s="63"/>
      <c r="S25" s="63"/>
      <c r="T25" s="63"/>
      <c r="U25" s="56"/>
      <c r="V25" s="56"/>
    </row>
    <row r="26" spans="2:22">
      <c r="B26" s="59"/>
      <c r="C26" s="59" t="s">
        <v>466</v>
      </c>
      <c r="D26" s="71"/>
      <c r="E26" s="71"/>
      <c r="F26" s="71"/>
      <c r="G26" s="71"/>
      <c r="H26" s="71"/>
      <c r="I26" s="71"/>
      <c r="J26" s="71"/>
      <c r="K26" s="71"/>
      <c r="L26" s="71"/>
      <c r="M26" s="71"/>
      <c r="N26" s="71"/>
      <c r="O26" s="71"/>
      <c r="P26" s="71"/>
      <c r="Q26" s="71"/>
      <c r="R26" s="71"/>
      <c r="S26" s="71"/>
      <c r="T26" s="65"/>
      <c r="U26" s="56"/>
      <c r="V26" s="56"/>
    </row>
    <row r="27" spans="2:22">
      <c r="B27" s="59"/>
      <c r="C27" s="59" t="s">
        <v>467</v>
      </c>
      <c r="D27" s="63"/>
      <c r="E27" s="63"/>
      <c r="F27" s="63"/>
      <c r="G27" s="63"/>
      <c r="H27" s="63"/>
      <c r="I27" s="63"/>
      <c r="J27" s="63"/>
      <c r="K27" s="63"/>
      <c r="L27" s="63"/>
      <c r="M27" s="63"/>
      <c r="N27" s="63"/>
      <c r="O27" s="63"/>
      <c r="P27" s="63"/>
      <c r="Q27" s="63"/>
      <c r="R27" s="63"/>
      <c r="S27" s="63"/>
      <c r="T27" s="65"/>
      <c r="U27" s="66"/>
      <c r="V27" s="56"/>
    </row>
    <row r="28" spans="2:22">
      <c r="B28" s="59"/>
      <c r="C28" s="59" t="s">
        <v>468</v>
      </c>
      <c r="D28" s="63"/>
      <c r="E28" s="63"/>
      <c r="F28" s="63"/>
      <c r="G28" s="63"/>
      <c r="H28" s="63"/>
      <c r="I28" s="63"/>
      <c r="J28" s="63"/>
      <c r="K28" s="63"/>
      <c r="L28" s="63"/>
      <c r="M28" s="63"/>
      <c r="N28" s="63"/>
      <c r="O28" s="63"/>
      <c r="P28" s="63"/>
      <c r="Q28" s="63"/>
      <c r="R28" s="63"/>
      <c r="S28" s="63"/>
      <c r="T28" s="63"/>
      <c r="U28" s="56"/>
      <c r="V28" s="56"/>
    </row>
    <row r="29" spans="2:22">
      <c r="B29" s="59"/>
      <c r="C29" s="59" t="s">
        <v>469</v>
      </c>
      <c r="D29" s="63"/>
      <c r="E29" s="63"/>
      <c r="F29" s="63"/>
      <c r="G29" s="63"/>
      <c r="H29" s="63"/>
      <c r="I29" s="63"/>
      <c r="J29" s="63"/>
      <c r="K29" s="63"/>
      <c r="L29" s="63"/>
      <c r="M29" s="63"/>
      <c r="N29" s="63"/>
      <c r="O29" s="63"/>
      <c r="P29" s="63"/>
      <c r="Q29" s="63"/>
      <c r="R29" s="63"/>
      <c r="S29" s="63"/>
      <c r="T29" s="63"/>
      <c r="U29" s="56"/>
      <c r="V29" s="56"/>
    </row>
    <row r="30" spans="2:22">
      <c r="B30" s="59"/>
      <c r="C30" s="59"/>
      <c r="D30" s="63"/>
      <c r="E30" s="63"/>
      <c r="F30" s="63"/>
      <c r="G30" s="63"/>
      <c r="H30" s="63"/>
      <c r="I30" s="63"/>
      <c r="J30" s="63"/>
      <c r="K30" s="63"/>
      <c r="L30" s="63"/>
      <c r="M30" s="63"/>
      <c r="N30" s="63"/>
      <c r="O30" s="63"/>
      <c r="P30" s="63"/>
      <c r="Q30" s="63"/>
      <c r="R30" s="63"/>
      <c r="S30" s="63"/>
      <c r="T30" s="63"/>
      <c r="U30" s="56"/>
      <c r="V30" s="56"/>
    </row>
    <row r="31" spans="2:22">
      <c r="B31" s="59"/>
      <c r="C31" s="59"/>
      <c r="D31" s="63"/>
      <c r="E31" s="63"/>
      <c r="F31" s="63"/>
      <c r="G31" s="63"/>
      <c r="H31" s="63"/>
      <c r="I31" s="63"/>
      <c r="J31" s="63"/>
      <c r="K31" s="63"/>
      <c r="L31" s="63"/>
      <c r="M31" s="63"/>
      <c r="N31" s="63"/>
      <c r="O31" s="63"/>
      <c r="P31" s="63"/>
      <c r="Q31" s="63"/>
      <c r="R31" s="63"/>
      <c r="S31" s="63"/>
      <c r="T31" s="63"/>
      <c r="U31" s="56"/>
      <c r="V31" s="56"/>
    </row>
    <row r="32" spans="2:22">
      <c r="B32" s="60">
        <v>1.4</v>
      </c>
      <c r="C32" s="61" t="s">
        <v>472</v>
      </c>
      <c r="D32" s="63"/>
      <c r="E32" s="63"/>
      <c r="F32" s="63"/>
      <c r="G32" s="63"/>
      <c r="H32" s="63"/>
      <c r="I32" s="63"/>
      <c r="J32" s="63"/>
      <c r="K32" s="63"/>
      <c r="L32" s="63"/>
      <c r="M32" s="63"/>
      <c r="N32" s="63"/>
      <c r="O32" s="63"/>
      <c r="P32" s="63"/>
      <c r="Q32" s="63"/>
      <c r="R32" s="63"/>
      <c r="S32" s="63"/>
      <c r="T32" s="63"/>
      <c r="U32" s="56"/>
      <c r="V32" s="56"/>
    </row>
    <row r="33" spans="2:22">
      <c r="B33" s="59"/>
      <c r="C33" s="59" t="s">
        <v>465</v>
      </c>
      <c r="D33" s="71"/>
      <c r="E33" s="71"/>
      <c r="F33" s="71"/>
      <c r="G33" s="71"/>
      <c r="H33" s="71"/>
      <c r="I33" s="71"/>
      <c r="J33" s="71"/>
      <c r="K33" s="71"/>
      <c r="L33" s="71"/>
      <c r="M33" s="71"/>
      <c r="N33" s="71"/>
      <c r="O33" s="71"/>
      <c r="P33" s="71"/>
      <c r="Q33" s="71"/>
      <c r="R33" s="71"/>
      <c r="S33" s="71"/>
      <c r="T33" s="63"/>
      <c r="U33" s="56"/>
      <c r="V33" s="56"/>
    </row>
    <row r="34" spans="2:22">
      <c r="B34" s="59"/>
      <c r="C34" s="59" t="s">
        <v>466</v>
      </c>
      <c r="D34" s="71"/>
      <c r="E34" s="71"/>
      <c r="F34" s="71"/>
      <c r="G34" s="71"/>
      <c r="H34" s="71"/>
      <c r="I34" s="71"/>
      <c r="J34" s="71"/>
      <c r="K34" s="71"/>
      <c r="L34" s="71"/>
      <c r="M34" s="71"/>
      <c r="N34" s="71"/>
      <c r="O34" s="71"/>
      <c r="P34" s="71"/>
      <c r="Q34" s="71"/>
      <c r="R34" s="71"/>
      <c r="S34" s="71"/>
      <c r="T34" s="63"/>
      <c r="U34" s="56"/>
      <c r="V34" s="56"/>
    </row>
    <row r="35" spans="2:22">
      <c r="B35" s="59"/>
      <c r="C35" s="59" t="s">
        <v>467</v>
      </c>
      <c r="D35" s="71"/>
      <c r="E35" s="71"/>
      <c r="F35" s="71"/>
      <c r="G35" s="71"/>
      <c r="H35" s="71"/>
      <c r="I35" s="71"/>
      <c r="J35" s="71"/>
      <c r="K35" s="71"/>
      <c r="L35" s="71"/>
      <c r="M35" s="71"/>
      <c r="N35" s="71"/>
      <c r="O35" s="71"/>
      <c r="P35" s="71"/>
      <c r="Q35" s="71"/>
      <c r="R35" s="71"/>
      <c r="S35" s="71"/>
      <c r="T35" s="63"/>
      <c r="U35" s="56"/>
      <c r="V35" s="56"/>
    </row>
    <row r="36" spans="2:22">
      <c r="B36" s="59"/>
      <c r="C36" s="59" t="s">
        <v>468</v>
      </c>
      <c r="D36" s="71"/>
      <c r="E36" s="71"/>
      <c r="F36" s="71"/>
      <c r="G36" s="71"/>
      <c r="H36" s="71"/>
      <c r="I36" s="71"/>
      <c r="J36" s="71"/>
      <c r="K36" s="71"/>
      <c r="L36" s="71"/>
      <c r="M36" s="71"/>
      <c r="N36" s="71"/>
      <c r="O36" s="71"/>
      <c r="P36" s="71"/>
      <c r="Q36" s="71"/>
      <c r="R36" s="71"/>
      <c r="S36" s="71"/>
      <c r="T36" s="63"/>
      <c r="U36" s="56"/>
      <c r="V36" s="56"/>
    </row>
    <row r="37" spans="2:22">
      <c r="B37" s="59"/>
      <c r="C37" s="59" t="s">
        <v>469</v>
      </c>
      <c r="D37" s="63"/>
      <c r="E37" s="63"/>
      <c r="F37" s="63"/>
      <c r="G37" s="63"/>
      <c r="H37" s="63"/>
      <c r="I37" s="63"/>
      <c r="J37" s="63"/>
      <c r="K37" s="63"/>
      <c r="L37" s="63"/>
      <c r="M37" s="63"/>
      <c r="N37" s="63"/>
      <c r="O37" s="63"/>
      <c r="P37" s="63"/>
      <c r="Q37" s="63"/>
      <c r="R37" s="63"/>
      <c r="S37" s="63"/>
      <c r="T37" s="63"/>
      <c r="U37" s="56"/>
      <c r="V37" s="56"/>
    </row>
    <row r="38" spans="2:22">
      <c r="B38" s="59"/>
      <c r="C38" s="59"/>
      <c r="D38" s="63"/>
      <c r="E38" s="63"/>
      <c r="F38" s="63"/>
      <c r="G38" s="63"/>
      <c r="H38" s="63"/>
      <c r="I38" s="63"/>
      <c r="J38" s="63"/>
      <c r="K38" s="63"/>
      <c r="L38" s="63"/>
      <c r="M38" s="63"/>
      <c r="N38" s="63"/>
      <c r="O38" s="63"/>
      <c r="P38" s="63"/>
      <c r="Q38" s="63"/>
      <c r="R38" s="63"/>
      <c r="S38" s="63"/>
      <c r="T38" s="63"/>
      <c r="U38" s="56"/>
      <c r="V38" s="56"/>
    </row>
    <row r="39" spans="2:22">
      <c r="B39" s="59">
        <v>2</v>
      </c>
      <c r="C39" s="61" t="s">
        <v>473</v>
      </c>
      <c r="D39" s="63"/>
      <c r="E39" s="63"/>
      <c r="F39" s="63"/>
      <c r="G39" s="63"/>
      <c r="H39" s="63"/>
      <c r="I39" s="63"/>
      <c r="J39" s="63"/>
      <c r="K39" s="63"/>
      <c r="L39" s="63"/>
      <c r="M39" s="63"/>
      <c r="N39" s="63"/>
      <c r="O39" s="63"/>
      <c r="P39" s="63"/>
      <c r="Q39" s="63"/>
      <c r="R39" s="63"/>
      <c r="S39" s="63"/>
      <c r="T39" s="72">
        <f>SUM(D39:S39)</f>
        <v>0</v>
      </c>
      <c r="U39" s="56"/>
      <c r="V39" s="56"/>
    </row>
    <row r="40" spans="2:22">
      <c r="B40" s="59"/>
      <c r="C40" s="61" t="s">
        <v>474</v>
      </c>
      <c r="D40" s="71"/>
      <c r="E40" s="71"/>
      <c r="F40" s="71"/>
      <c r="G40" s="71"/>
      <c r="H40" s="71"/>
      <c r="I40" s="71"/>
      <c r="J40" s="71"/>
      <c r="K40" s="71"/>
      <c r="L40" s="71"/>
      <c r="M40" s="71"/>
      <c r="N40" s="71"/>
      <c r="O40" s="71"/>
      <c r="P40" s="71"/>
      <c r="Q40" s="71"/>
      <c r="R40" s="71"/>
      <c r="S40" s="71"/>
      <c r="T40" s="63"/>
      <c r="U40" s="56"/>
      <c r="V40" s="56"/>
    </row>
    <row r="41" spans="2:22">
      <c r="B41" s="59"/>
      <c r="C41" s="61" t="s">
        <v>475</v>
      </c>
      <c r="D41" s="71"/>
      <c r="E41" s="71"/>
      <c r="F41" s="71"/>
      <c r="G41" s="71"/>
      <c r="H41" s="71"/>
      <c r="I41" s="71"/>
      <c r="J41" s="71"/>
      <c r="K41" s="71"/>
      <c r="L41" s="71"/>
      <c r="M41" s="71"/>
      <c r="N41" s="71"/>
      <c r="O41" s="71"/>
      <c r="P41" s="71"/>
      <c r="Q41" s="71"/>
      <c r="R41" s="71"/>
      <c r="S41" s="71"/>
      <c r="T41" s="63"/>
      <c r="U41" s="56"/>
      <c r="V41" s="56"/>
    </row>
    <row r="42" spans="2:22">
      <c r="B42" s="59"/>
      <c r="C42" s="61" t="s">
        <v>476</v>
      </c>
      <c r="D42" s="71"/>
      <c r="E42" s="71"/>
      <c r="F42" s="71"/>
      <c r="G42" s="71"/>
      <c r="H42" s="71"/>
      <c r="I42" s="71"/>
      <c r="J42" s="71"/>
      <c r="K42" s="71"/>
      <c r="L42" s="71"/>
      <c r="M42" s="71"/>
      <c r="N42" s="71"/>
      <c r="O42" s="71"/>
      <c r="P42" s="71"/>
      <c r="Q42" s="71"/>
      <c r="R42" s="71"/>
      <c r="S42" s="71"/>
      <c r="T42" s="63"/>
      <c r="U42" s="66"/>
      <c r="V42" s="56"/>
    </row>
    <row r="43" spans="2:22">
      <c r="I43" s="56"/>
      <c r="J43" s="56"/>
      <c r="K43" s="56"/>
      <c r="L43" s="56"/>
      <c r="M43" s="56"/>
      <c r="N43" s="56"/>
      <c r="U43" s="56"/>
      <c r="V43" s="56"/>
    </row>
    <row r="44" spans="2:22">
      <c r="B44" s="73" t="s">
        <v>712</v>
      </c>
      <c r="I44" s="56"/>
      <c r="J44" s="56"/>
      <c r="K44" s="56"/>
      <c r="L44" s="56"/>
      <c r="M44" s="56"/>
      <c r="N44" s="56"/>
      <c r="U44" s="56"/>
      <c r="V44" s="56"/>
    </row>
    <row r="45" spans="2:22">
      <c r="I45" s="56"/>
      <c r="J45" s="56"/>
      <c r="K45" s="56"/>
      <c r="L45" s="56"/>
      <c r="M45" s="56"/>
      <c r="N45" s="56"/>
      <c r="U45" s="56"/>
      <c r="V45" s="56"/>
    </row>
    <row r="46" spans="2:22">
      <c r="I46" s="56"/>
      <c r="J46" s="56"/>
      <c r="K46" s="56"/>
      <c r="L46" s="56"/>
      <c r="M46" s="56"/>
      <c r="N46" s="56"/>
      <c r="U46" s="56"/>
      <c r="V46" s="56"/>
    </row>
    <row r="47" spans="2:22">
      <c r="I47" s="56"/>
      <c r="J47" s="56"/>
      <c r="K47" s="56"/>
      <c r="L47" s="56"/>
      <c r="M47" s="56"/>
      <c r="N47" s="56"/>
      <c r="O47" s="56"/>
      <c r="P47" s="56"/>
      <c r="Q47" s="56"/>
      <c r="R47" s="56"/>
      <c r="S47" s="56"/>
      <c r="U47" s="56"/>
      <c r="V47" s="56"/>
    </row>
    <row r="48" spans="2:22">
      <c r="K48" s="56"/>
      <c r="L48" s="56"/>
      <c r="M48" s="56"/>
      <c r="N48" s="56"/>
      <c r="O48" s="56"/>
      <c r="P48" s="56"/>
      <c r="Q48" s="56"/>
      <c r="R48" s="56"/>
      <c r="S48" s="56"/>
      <c r="U48" s="56"/>
      <c r="V48" s="56"/>
    </row>
    <row r="49" spans="9:22">
      <c r="K49" s="56"/>
      <c r="L49" s="56"/>
      <c r="M49" s="56"/>
      <c r="N49" s="56"/>
      <c r="O49" s="56"/>
      <c r="P49" s="56"/>
      <c r="Q49" s="56"/>
      <c r="R49" s="56"/>
      <c r="S49" s="56"/>
      <c r="U49" s="56"/>
      <c r="V49" s="56"/>
    </row>
    <row r="50" spans="9:22">
      <c r="K50" s="56"/>
      <c r="L50" s="56"/>
      <c r="M50" s="56"/>
      <c r="N50" s="56"/>
      <c r="O50" s="56"/>
      <c r="P50" s="56"/>
      <c r="Q50" s="56"/>
      <c r="R50" s="56"/>
      <c r="S50" s="56"/>
    </row>
    <row r="51" spans="9:22">
      <c r="I51" s="74"/>
      <c r="K51" s="66"/>
      <c r="L51" s="56"/>
      <c r="M51" s="56"/>
      <c r="N51" s="56"/>
      <c r="O51" s="56"/>
      <c r="P51" s="56"/>
      <c r="Q51" s="56"/>
      <c r="R51" s="56"/>
      <c r="S51" s="56"/>
    </row>
    <row r="52" spans="9:22">
      <c r="I52" s="74"/>
      <c r="K52" s="66"/>
      <c r="L52" s="56"/>
      <c r="M52" s="56"/>
      <c r="N52" s="56"/>
      <c r="O52" s="56"/>
      <c r="P52" s="56"/>
      <c r="Q52" s="56"/>
      <c r="R52" s="56"/>
      <c r="S52" s="56"/>
    </row>
    <row r="53" spans="9:22">
      <c r="I53" s="74"/>
      <c r="K53" s="66"/>
      <c r="L53" s="56"/>
      <c r="M53" s="56"/>
      <c r="N53" s="56"/>
      <c r="O53" s="56"/>
      <c r="P53" s="56"/>
      <c r="Q53" s="56"/>
      <c r="R53" s="56"/>
      <c r="S53" s="56"/>
    </row>
    <row r="54" spans="9:22">
      <c r="I54" s="74"/>
      <c r="K54" s="66"/>
      <c r="L54" s="56"/>
      <c r="M54" s="56"/>
      <c r="N54" s="56"/>
      <c r="O54" s="56"/>
      <c r="P54" s="56"/>
      <c r="Q54" s="56"/>
      <c r="R54" s="56"/>
      <c r="S54" s="56"/>
    </row>
    <row r="55" spans="9:22">
      <c r="K55" s="66"/>
    </row>
  </sheetData>
  <mergeCells count="8">
    <mergeCell ref="B2:T2"/>
    <mergeCell ref="B3:T3"/>
    <mergeCell ref="B4:T4"/>
    <mergeCell ref="B6:B8"/>
    <mergeCell ref="D6:G6"/>
    <mergeCell ref="H6:K6"/>
    <mergeCell ref="L6:O6"/>
    <mergeCell ref="P6:S6"/>
  </mergeCells>
  <printOptions horizontalCentered="1" verticalCentered="1"/>
  <pageMargins left="1.0629921259842521" right="0.39370078740157483" top="0.62992125984251968" bottom="0.39370078740157483" header="0.31496062992125984" footer="0.31496062992125984"/>
  <pageSetup paperSize="9" scale="5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AH191"/>
  <sheetViews>
    <sheetView showGridLines="0" tabSelected="1" view="pageBreakPreview" zoomScale="70" zoomScaleNormal="60" zoomScaleSheetLayoutView="70" workbookViewId="0">
      <selection activeCell="A121" sqref="A121"/>
    </sheetView>
  </sheetViews>
  <sheetFormatPr baseColWidth="10" defaultColWidth="9.1640625" defaultRowHeight="14"/>
  <cols>
    <col min="1" max="1" width="8.6640625" style="843" bestFit="1" customWidth="1"/>
    <col min="2" max="2" width="33.83203125" style="856" customWidth="1"/>
    <col min="3" max="3" width="17" style="845" customWidth="1"/>
    <col min="4" max="4" width="11.1640625" style="845" bestFit="1" customWidth="1"/>
    <col min="5" max="5" width="13.83203125" style="845" customWidth="1"/>
    <col min="6" max="6" width="13.5" style="845" customWidth="1"/>
    <col min="7" max="7" width="15.6640625" style="845" customWidth="1"/>
    <col min="8" max="8" width="12.83203125" style="845" customWidth="1"/>
    <col min="9" max="9" width="17" style="845" customWidth="1"/>
    <col min="10" max="11" width="17" style="843" customWidth="1"/>
    <col min="12" max="12" width="13.5" style="843" bestFit="1" customWidth="1"/>
    <col min="13" max="15" width="10" style="843" bestFit="1" customWidth="1"/>
    <col min="16" max="16" width="9.5" style="843" bestFit="1" customWidth="1"/>
    <col min="17" max="17" width="9.6640625" style="843" bestFit="1" customWidth="1"/>
    <col min="18" max="18" width="9.33203125" style="843" bestFit="1" customWidth="1"/>
    <col min="19" max="19" width="10.5" style="843" bestFit="1" customWidth="1"/>
    <col min="20" max="21" width="11" style="843" bestFit="1" customWidth="1"/>
    <col min="22" max="22" width="11.1640625" style="843" bestFit="1" customWidth="1"/>
    <col min="23" max="23" width="10.6640625" style="843" bestFit="1" customWidth="1"/>
    <col min="24" max="24" width="11" style="843" bestFit="1" customWidth="1"/>
    <col min="25" max="25" width="10.5" style="843" bestFit="1" customWidth="1"/>
    <col min="26" max="28" width="13" style="843" bestFit="1" customWidth="1"/>
    <col min="29" max="31" width="13.5" style="843" bestFit="1" customWidth="1"/>
    <col min="32" max="34" width="19" style="843" customWidth="1"/>
    <col min="35" max="35" width="9.1640625" style="843"/>
    <col min="36" max="36" width="25.83203125" style="843" customWidth="1"/>
    <col min="37" max="37" width="22.1640625" style="843" customWidth="1"/>
    <col min="38" max="16384" width="9.1640625" style="843"/>
  </cols>
  <sheetData>
    <row r="2" spans="1:34" ht="15">
      <c r="A2" s="1215" t="str">
        <f>Index!B2</f>
        <v>Jaigad Power Transco Ltd</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row>
    <row r="3" spans="1:34" ht="15">
      <c r="A3" s="1215" t="s">
        <v>186</v>
      </c>
      <c r="B3" s="1216"/>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row>
    <row r="4" spans="1:34" ht="15">
      <c r="A4" s="1217" t="s">
        <v>705</v>
      </c>
      <c r="B4" s="1218"/>
      <c r="C4" s="1218"/>
      <c r="D4" s="1218"/>
      <c r="E4" s="1218"/>
      <c r="F4" s="1218"/>
      <c r="G4" s="1218"/>
      <c r="H4" s="1218"/>
      <c r="I4" s="1218"/>
      <c r="J4" s="1218"/>
      <c r="K4" s="1218"/>
      <c r="L4" s="1218"/>
      <c r="M4" s="1218"/>
      <c r="N4" s="1218"/>
      <c r="O4" s="1218"/>
      <c r="P4" s="1218"/>
      <c r="Q4" s="1218"/>
      <c r="R4" s="1218"/>
      <c r="S4" s="1218"/>
      <c r="T4" s="1218"/>
      <c r="U4" s="1218"/>
      <c r="V4" s="1218"/>
      <c r="W4" s="1218"/>
      <c r="X4" s="1218"/>
      <c r="Y4" s="1218"/>
      <c r="Z4" s="1218"/>
    </row>
    <row r="5" spans="1:34">
      <c r="B5" s="844" t="s">
        <v>588</v>
      </c>
      <c r="L5" s="846" t="s">
        <v>33</v>
      </c>
    </row>
    <row r="6" spans="1:34" ht="30">
      <c r="A6" s="847"/>
      <c r="B6" s="1219" t="s">
        <v>431</v>
      </c>
      <c r="C6" s="1221" t="s">
        <v>707</v>
      </c>
      <c r="D6" s="1221" t="s">
        <v>934</v>
      </c>
      <c r="E6" s="1221" t="s">
        <v>935</v>
      </c>
      <c r="F6" s="1221" t="s">
        <v>936</v>
      </c>
      <c r="G6" s="1221" t="s">
        <v>937</v>
      </c>
      <c r="H6" s="1221" t="s">
        <v>938</v>
      </c>
      <c r="I6" s="1221" t="s">
        <v>939</v>
      </c>
      <c r="J6" s="1223" t="s">
        <v>589</v>
      </c>
      <c r="K6" s="1223" t="s">
        <v>641</v>
      </c>
      <c r="L6" s="1225" t="s">
        <v>642</v>
      </c>
      <c r="M6" s="1225"/>
      <c r="N6" s="1225"/>
      <c r="O6" s="1225"/>
      <c r="P6" s="1225"/>
      <c r="Q6" s="1225"/>
      <c r="R6" s="1225"/>
      <c r="S6" s="1225"/>
      <c r="T6" s="1225"/>
      <c r="U6" s="1225"/>
      <c r="V6" s="1225"/>
      <c r="W6" s="1225"/>
      <c r="X6" s="1225"/>
      <c r="Y6" s="1225"/>
      <c r="Z6" s="1225"/>
      <c r="AA6" s="1225"/>
      <c r="AB6" s="1225"/>
      <c r="AC6" s="1225"/>
      <c r="AD6" s="1225"/>
      <c r="AE6" s="1225"/>
      <c r="AF6" s="848" t="s">
        <v>925</v>
      </c>
      <c r="AG6" s="848" t="s">
        <v>604</v>
      </c>
      <c r="AH6" s="848" t="s">
        <v>605</v>
      </c>
    </row>
    <row r="7" spans="1:34">
      <c r="A7" s="847"/>
      <c r="B7" s="1220"/>
      <c r="C7" s="1222"/>
      <c r="D7" s="1222"/>
      <c r="E7" s="1222"/>
      <c r="F7" s="1222"/>
      <c r="G7" s="1222"/>
      <c r="H7" s="1222"/>
      <c r="I7" s="1227"/>
      <c r="J7" s="1224"/>
      <c r="K7" s="1224"/>
      <c r="L7" s="849" t="s">
        <v>590</v>
      </c>
      <c r="M7" s="849" t="s">
        <v>591</v>
      </c>
      <c r="N7" s="849" t="s">
        <v>592</v>
      </c>
      <c r="O7" s="849" t="s">
        <v>593</v>
      </c>
      <c r="P7" s="849" t="s">
        <v>594</v>
      </c>
      <c r="Q7" s="849" t="s">
        <v>595</v>
      </c>
      <c r="R7" s="849" t="s">
        <v>596</v>
      </c>
      <c r="S7" s="849" t="s">
        <v>597</v>
      </c>
      <c r="T7" s="849" t="s">
        <v>598</v>
      </c>
      <c r="U7" s="849" t="s">
        <v>599</v>
      </c>
      <c r="V7" s="849" t="s">
        <v>600</v>
      </c>
      <c r="W7" s="849" t="s">
        <v>601</v>
      </c>
      <c r="X7" s="849" t="s">
        <v>602</v>
      </c>
      <c r="Y7" s="849" t="s">
        <v>603</v>
      </c>
      <c r="Z7" s="849" t="s">
        <v>215</v>
      </c>
      <c r="AA7" s="849" t="s">
        <v>540</v>
      </c>
      <c r="AB7" s="849" t="s">
        <v>541</v>
      </c>
      <c r="AC7" s="849" t="s">
        <v>542</v>
      </c>
      <c r="AD7" s="849" t="s">
        <v>543</v>
      </c>
      <c r="AE7" s="849" t="s">
        <v>544</v>
      </c>
      <c r="AF7" s="848"/>
      <c r="AG7" s="848"/>
      <c r="AH7" s="848"/>
    </row>
    <row r="8" spans="1:34">
      <c r="A8" s="850" t="s">
        <v>606</v>
      </c>
      <c r="B8" s="851">
        <v>2005</v>
      </c>
      <c r="C8" s="852"/>
      <c r="D8" s="852"/>
      <c r="E8" s="852"/>
      <c r="F8" s="852"/>
      <c r="G8" s="852"/>
      <c r="H8" s="852"/>
      <c r="I8" s="852"/>
      <c r="J8" s="860"/>
      <c r="K8" s="861"/>
      <c r="L8" s="43"/>
      <c r="M8" s="43"/>
      <c r="N8" s="43"/>
      <c r="O8" s="43"/>
      <c r="P8" s="43"/>
      <c r="Q8" s="43"/>
      <c r="R8" s="43"/>
      <c r="S8" s="43"/>
      <c r="T8" s="43"/>
      <c r="U8" s="43"/>
      <c r="V8" s="43"/>
      <c r="W8" s="43"/>
      <c r="X8" s="43"/>
      <c r="Y8" s="43"/>
      <c r="Z8" s="43"/>
      <c r="AA8" s="43"/>
      <c r="AB8" s="43"/>
      <c r="AC8" s="43"/>
      <c r="AD8" s="43"/>
      <c r="AE8" s="43"/>
      <c r="AF8" s="859"/>
      <c r="AG8" s="859"/>
      <c r="AH8" s="859"/>
    </row>
    <row r="9" spans="1:34">
      <c r="A9" s="850" t="s">
        <v>229</v>
      </c>
      <c r="B9" s="851" t="s">
        <v>590</v>
      </c>
      <c r="C9" s="852"/>
      <c r="D9" s="852"/>
      <c r="E9" s="852"/>
      <c r="F9" s="852"/>
      <c r="G9" s="852"/>
      <c r="H9" s="852"/>
      <c r="I9" s="852"/>
      <c r="J9" s="860"/>
      <c r="K9" s="861"/>
      <c r="L9" s="44"/>
      <c r="M9" s="43"/>
      <c r="N9" s="43"/>
      <c r="O9" s="43"/>
      <c r="P9" s="43"/>
      <c r="Q9" s="43"/>
      <c r="R9" s="43"/>
      <c r="S9" s="43"/>
      <c r="T9" s="43"/>
      <c r="U9" s="43"/>
      <c r="V9" s="43"/>
      <c r="W9" s="43"/>
      <c r="X9" s="43"/>
      <c r="Y9" s="43"/>
      <c r="Z9" s="43"/>
      <c r="AA9" s="43"/>
      <c r="AB9" s="43"/>
      <c r="AC9" s="43"/>
      <c r="AD9" s="43"/>
      <c r="AE9" s="43"/>
      <c r="AF9" s="859"/>
      <c r="AG9" s="859"/>
      <c r="AH9" s="859"/>
    </row>
    <row r="10" spans="1:34">
      <c r="A10" s="850" t="s">
        <v>229</v>
      </c>
      <c r="B10" s="851" t="s">
        <v>591</v>
      </c>
      <c r="C10" s="852"/>
      <c r="D10" s="852"/>
      <c r="E10" s="852"/>
      <c r="F10" s="852"/>
      <c r="G10" s="852"/>
      <c r="H10" s="852"/>
      <c r="I10" s="852"/>
      <c r="J10" s="860"/>
      <c r="K10" s="861"/>
      <c r="L10" s="45"/>
      <c r="M10" s="44"/>
      <c r="N10" s="43"/>
      <c r="O10" s="43"/>
      <c r="P10" s="43"/>
      <c r="Q10" s="43"/>
      <c r="R10" s="43"/>
      <c r="S10" s="43"/>
      <c r="T10" s="43"/>
      <c r="U10" s="43"/>
      <c r="V10" s="43"/>
      <c r="W10" s="43"/>
      <c r="X10" s="43"/>
      <c r="Y10" s="43"/>
      <c r="Z10" s="43"/>
      <c r="AA10" s="43"/>
      <c r="AB10" s="43"/>
      <c r="AC10" s="43"/>
      <c r="AD10" s="43"/>
      <c r="AE10" s="43"/>
      <c r="AF10" s="859"/>
      <c r="AG10" s="859"/>
      <c r="AH10" s="859"/>
    </row>
    <row r="11" spans="1:34">
      <c r="A11" s="850" t="s">
        <v>229</v>
      </c>
      <c r="B11" s="851" t="s">
        <v>592</v>
      </c>
      <c r="C11" s="852"/>
      <c r="D11" s="852"/>
      <c r="E11" s="852"/>
      <c r="F11" s="852"/>
      <c r="G11" s="852"/>
      <c r="H11" s="852"/>
      <c r="I11" s="852"/>
      <c r="J11" s="860"/>
      <c r="K11" s="861"/>
      <c r="L11" s="45"/>
      <c r="M11" s="45"/>
      <c r="N11" s="44"/>
      <c r="O11" s="43"/>
      <c r="P11" s="43"/>
      <c r="Q11" s="43"/>
      <c r="R11" s="43"/>
      <c r="S11" s="43"/>
      <c r="T11" s="43"/>
      <c r="U11" s="43"/>
      <c r="V11" s="43"/>
      <c r="W11" s="43"/>
      <c r="X11" s="43"/>
      <c r="Y11" s="43"/>
      <c r="Z11" s="43"/>
      <c r="AA11" s="43"/>
      <c r="AB11" s="43"/>
      <c r="AC11" s="43"/>
      <c r="AD11" s="43"/>
      <c r="AE11" s="43"/>
      <c r="AF11" s="859"/>
      <c r="AG11" s="859"/>
      <c r="AH11" s="859"/>
    </row>
    <row r="12" spans="1:34">
      <c r="A12" s="850" t="s">
        <v>229</v>
      </c>
      <c r="B12" s="851" t="s">
        <v>593</v>
      </c>
      <c r="C12" s="852"/>
      <c r="D12" s="852"/>
      <c r="E12" s="852"/>
      <c r="F12" s="852"/>
      <c r="G12" s="852"/>
      <c r="H12" s="852"/>
      <c r="I12" s="852"/>
      <c r="J12" s="860"/>
      <c r="K12" s="861"/>
      <c r="L12" s="45"/>
      <c r="M12" s="45"/>
      <c r="N12" s="45"/>
      <c r="O12" s="44"/>
      <c r="P12" s="43"/>
      <c r="Q12" s="43"/>
      <c r="R12" s="43"/>
      <c r="S12" s="43"/>
      <c r="T12" s="43"/>
      <c r="U12" s="43"/>
      <c r="V12" s="43"/>
      <c r="W12" s="43"/>
      <c r="X12" s="43"/>
      <c r="Y12" s="43"/>
      <c r="Z12" s="43"/>
      <c r="AA12" s="43"/>
      <c r="AB12" s="43"/>
      <c r="AC12" s="43"/>
      <c r="AD12" s="43"/>
      <c r="AE12" s="43"/>
      <c r="AF12" s="859"/>
      <c r="AG12" s="859"/>
      <c r="AH12" s="859"/>
    </row>
    <row r="13" spans="1:34">
      <c r="A13" s="850" t="s">
        <v>229</v>
      </c>
      <c r="B13" s="851" t="s">
        <v>594</v>
      </c>
      <c r="C13" s="852"/>
      <c r="D13" s="852"/>
      <c r="E13" s="852"/>
      <c r="F13" s="852"/>
      <c r="G13" s="852"/>
      <c r="H13" s="852"/>
      <c r="I13" s="852"/>
      <c r="J13" s="860"/>
      <c r="K13" s="861"/>
      <c r="L13" s="45"/>
      <c r="M13" s="45"/>
      <c r="N13" s="45"/>
      <c r="O13" s="45"/>
      <c r="P13" s="44"/>
      <c r="Q13" s="43"/>
      <c r="R13" s="43"/>
      <c r="S13" s="43"/>
      <c r="T13" s="43"/>
      <c r="U13" s="43"/>
      <c r="V13" s="43"/>
      <c r="W13" s="43"/>
      <c r="X13" s="43"/>
      <c r="Y13" s="43"/>
      <c r="Z13" s="43"/>
      <c r="AA13" s="43"/>
      <c r="AB13" s="43"/>
      <c r="AC13" s="43"/>
      <c r="AD13" s="43"/>
      <c r="AE13" s="43"/>
      <c r="AF13" s="859"/>
      <c r="AG13" s="859"/>
      <c r="AH13" s="859"/>
    </row>
    <row r="14" spans="1:34">
      <c r="A14" s="850" t="s">
        <v>229</v>
      </c>
      <c r="B14" s="851" t="s">
        <v>595</v>
      </c>
      <c r="C14" s="836"/>
      <c r="D14" s="864"/>
      <c r="E14" s="865">
        <f>C14+D14</f>
        <v>0</v>
      </c>
      <c r="F14" s="864"/>
      <c r="G14" s="864"/>
      <c r="H14" s="865">
        <f>E14+F14+G14</f>
        <v>0</v>
      </c>
      <c r="I14" s="865">
        <f t="shared" ref="I14:I20" si="0">H14</f>
        <v>0</v>
      </c>
      <c r="J14" s="837"/>
      <c r="K14" s="861">
        <v>0</v>
      </c>
      <c r="L14" s="45"/>
      <c r="M14" s="45"/>
      <c r="N14" s="45"/>
      <c r="O14" s="45"/>
      <c r="P14" s="45"/>
      <c r="Q14" s="868">
        <f>$H14*VLOOKUP(Q$33,$B$136:$K$158,10,FALSE)/365*268</f>
        <v>0</v>
      </c>
      <c r="R14" s="869">
        <f t="shared" ref="R14:AC14" si="1">$H14*VLOOKUP(R$33,$B$136:$K$158,10,FALSE)</f>
        <v>0</v>
      </c>
      <c r="S14" s="869">
        <f t="shared" si="1"/>
        <v>0</v>
      </c>
      <c r="T14" s="869">
        <f t="shared" si="1"/>
        <v>0</v>
      </c>
      <c r="U14" s="869">
        <f t="shared" si="1"/>
        <v>0</v>
      </c>
      <c r="V14" s="869">
        <f t="shared" si="1"/>
        <v>0</v>
      </c>
      <c r="W14" s="869">
        <f t="shared" si="1"/>
        <v>0</v>
      </c>
      <c r="X14" s="869">
        <f t="shared" si="1"/>
        <v>0</v>
      </c>
      <c r="Y14" s="869">
        <f t="shared" si="1"/>
        <v>0</v>
      </c>
      <c r="Z14" s="869">
        <f t="shared" si="1"/>
        <v>0</v>
      </c>
      <c r="AA14" s="869">
        <f t="shared" si="1"/>
        <v>0</v>
      </c>
      <c r="AB14" s="869">
        <f t="shared" si="1"/>
        <v>0</v>
      </c>
      <c r="AC14" s="869">
        <f t="shared" si="1"/>
        <v>0</v>
      </c>
      <c r="AD14" s="869">
        <f>SUM($I14*90%-SUM($Q14:$AC14))/2</f>
        <v>0</v>
      </c>
      <c r="AE14" s="869">
        <f>SUM($I14*90%-SUM($Q14:$AC14))/2</f>
        <v>0</v>
      </c>
      <c r="AF14" s="859"/>
      <c r="AG14" s="842">
        <f>IFERROR(SUM(Q14:AE14)/I14,0)</f>
        <v>0</v>
      </c>
      <c r="AH14" s="859">
        <f>I14-SUM(Q14:AE14)</f>
        <v>0</v>
      </c>
    </row>
    <row r="15" spans="1:34">
      <c r="A15" s="850" t="s">
        <v>229</v>
      </c>
      <c r="B15" s="851" t="s">
        <v>596</v>
      </c>
      <c r="C15" s="836"/>
      <c r="D15" s="864"/>
      <c r="E15" s="865">
        <f t="shared" ref="E15:E28" si="2">C15+D15</f>
        <v>0</v>
      </c>
      <c r="F15" s="864"/>
      <c r="G15" s="864"/>
      <c r="H15" s="865">
        <f t="shared" ref="H15:H28" si="3">E15+F15+G15</f>
        <v>0</v>
      </c>
      <c r="I15" s="865">
        <f t="shared" si="0"/>
        <v>0</v>
      </c>
      <c r="J15" s="837"/>
      <c r="K15" s="861">
        <v>0</v>
      </c>
      <c r="L15" s="45"/>
      <c r="M15" s="45"/>
      <c r="N15" s="45"/>
      <c r="O15" s="45"/>
      <c r="P15" s="45"/>
      <c r="Q15" s="870"/>
      <c r="R15" s="868">
        <f>$H15*VLOOKUP(R$33,$B$136:$K$158,10,FALSE)/365*121</f>
        <v>0</v>
      </c>
      <c r="S15" s="869">
        <f>$H15*VLOOKUP(S$33,$B$136:$K$158,10,FALSE)</f>
        <v>0</v>
      </c>
      <c r="T15" s="869">
        <f t="shared" ref="T15:AE15" si="4">$I15*VLOOKUP(T$33,$B$136:$K$158,10,FALSE)</f>
        <v>0</v>
      </c>
      <c r="U15" s="869">
        <f t="shared" si="4"/>
        <v>0</v>
      </c>
      <c r="V15" s="869">
        <f t="shared" si="4"/>
        <v>0</v>
      </c>
      <c r="W15" s="869">
        <f t="shared" si="4"/>
        <v>0</v>
      </c>
      <c r="X15" s="869">
        <f t="shared" si="4"/>
        <v>0</v>
      </c>
      <c r="Y15" s="869">
        <f t="shared" si="4"/>
        <v>0</v>
      </c>
      <c r="Z15" s="869">
        <f t="shared" si="4"/>
        <v>0</v>
      </c>
      <c r="AA15" s="869">
        <f t="shared" si="4"/>
        <v>0</v>
      </c>
      <c r="AB15" s="869">
        <f t="shared" si="4"/>
        <v>0</v>
      </c>
      <c r="AC15" s="869">
        <f t="shared" si="4"/>
        <v>0</v>
      </c>
      <c r="AD15" s="869">
        <f t="shared" si="4"/>
        <v>0</v>
      </c>
      <c r="AE15" s="869">
        <f t="shared" si="4"/>
        <v>0</v>
      </c>
      <c r="AF15" s="859"/>
      <c r="AG15" s="842">
        <f t="shared" ref="AG15:AG28" si="5">IFERROR(SUM(Q15:AE15)/I15,0)</f>
        <v>0</v>
      </c>
      <c r="AH15" s="859">
        <f t="shared" ref="AH15:AH28" si="6">I15-SUM(Q15:AE15)</f>
        <v>0</v>
      </c>
    </row>
    <row r="16" spans="1:34">
      <c r="A16" s="850" t="s">
        <v>229</v>
      </c>
      <c r="B16" s="851" t="s">
        <v>597</v>
      </c>
      <c r="C16" s="836"/>
      <c r="D16" s="864"/>
      <c r="E16" s="865">
        <f t="shared" si="2"/>
        <v>0</v>
      </c>
      <c r="F16" s="864"/>
      <c r="G16" s="864"/>
      <c r="H16" s="865">
        <f t="shared" si="3"/>
        <v>0</v>
      </c>
      <c r="I16" s="865">
        <f t="shared" si="0"/>
        <v>0</v>
      </c>
      <c r="J16" s="837"/>
      <c r="K16" s="861">
        <v>0</v>
      </c>
      <c r="L16" s="45"/>
      <c r="M16" s="45"/>
      <c r="N16" s="45"/>
      <c r="O16" s="45"/>
      <c r="P16" s="45"/>
      <c r="Q16" s="870"/>
      <c r="R16" s="871"/>
      <c r="S16" s="868">
        <f>$H16*VLOOKUP(S$33,$B$136:$K$158,10,FALSE)/2</f>
        <v>0</v>
      </c>
      <c r="T16" s="869">
        <f t="shared" ref="T16:AD16" si="7">$I16*VLOOKUP(T$33,$B$136:$K$158,10,FALSE)</f>
        <v>0</v>
      </c>
      <c r="U16" s="869">
        <f t="shared" si="7"/>
        <v>0</v>
      </c>
      <c r="V16" s="869">
        <f t="shared" si="7"/>
        <v>0</v>
      </c>
      <c r="W16" s="869">
        <f t="shared" si="7"/>
        <v>0</v>
      </c>
      <c r="X16" s="869">
        <f t="shared" si="7"/>
        <v>0</v>
      </c>
      <c r="Y16" s="869">
        <f t="shared" si="7"/>
        <v>0</v>
      </c>
      <c r="Z16" s="869">
        <f t="shared" si="7"/>
        <v>0</v>
      </c>
      <c r="AA16" s="869">
        <f t="shared" si="7"/>
        <v>0</v>
      </c>
      <c r="AB16" s="869">
        <f t="shared" si="7"/>
        <v>0</v>
      </c>
      <c r="AC16" s="869">
        <f t="shared" si="7"/>
        <v>0</v>
      </c>
      <c r="AD16" s="869">
        <f t="shared" si="7"/>
        <v>0</v>
      </c>
      <c r="AE16" s="869">
        <f>SUM($I16*90%-SUM($R16:$AD16))/3</f>
        <v>0</v>
      </c>
      <c r="AF16" s="859"/>
      <c r="AG16" s="842">
        <f t="shared" si="5"/>
        <v>0</v>
      </c>
      <c r="AH16" s="859">
        <f t="shared" si="6"/>
        <v>0</v>
      </c>
    </row>
    <row r="17" spans="1:34">
      <c r="A17" s="850" t="s">
        <v>229</v>
      </c>
      <c r="B17" s="851" t="s">
        <v>598</v>
      </c>
      <c r="C17" s="836"/>
      <c r="D17" s="864"/>
      <c r="E17" s="865">
        <f t="shared" si="2"/>
        <v>0</v>
      </c>
      <c r="F17" s="865"/>
      <c r="G17" s="865"/>
      <c r="H17" s="865">
        <f t="shared" si="3"/>
        <v>0</v>
      </c>
      <c r="I17" s="865">
        <f t="shared" si="0"/>
        <v>0</v>
      </c>
      <c r="J17" s="837"/>
      <c r="K17" s="861">
        <v>0</v>
      </c>
      <c r="L17" s="45"/>
      <c r="M17" s="45"/>
      <c r="N17" s="45"/>
      <c r="O17" s="45"/>
      <c r="P17" s="45"/>
      <c r="Q17" s="870"/>
      <c r="R17" s="871"/>
      <c r="S17" s="871"/>
      <c r="T17" s="868">
        <f>$H17*VLOOKUP(T$33,$B$136:$K$158,10,FALSE)</f>
        <v>0</v>
      </c>
      <c r="U17" s="869">
        <f t="shared" ref="U17:AE17" si="8">$I17*VLOOKUP(U$33,$B$136:$K$158,10,FALSE)</f>
        <v>0</v>
      </c>
      <c r="V17" s="869">
        <f t="shared" si="8"/>
        <v>0</v>
      </c>
      <c r="W17" s="869">
        <f t="shared" si="8"/>
        <v>0</v>
      </c>
      <c r="X17" s="869">
        <f t="shared" si="8"/>
        <v>0</v>
      </c>
      <c r="Y17" s="869">
        <f t="shared" si="8"/>
        <v>0</v>
      </c>
      <c r="Z17" s="869">
        <f t="shared" si="8"/>
        <v>0</v>
      </c>
      <c r="AA17" s="869">
        <f t="shared" si="8"/>
        <v>0</v>
      </c>
      <c r="AB17" s="869">
        <f t="shared" si="8"/>
        <v>0</v>
      </c>
      <c r="AC17" s="869">
        <f t="shared" si="8"/>
        <v>0</v>
      </c>
      <c r="AD17" s="869">
        <f t="shared" si="8"/>
        <v>0</v>
      </c>
      <c r="AE17" s="869">
        <f t="shared" si="8"/>
        <v>0</v>
      </c>
      <c r="AF17" s="859"/>
      <c r="AG17" s="842">
        <f t="shared" si="5"/>
        <v>0</v>
      </c>
      <c r="AH17" s="859">
        <f t="shared" si="6"/>
        <v>0</v>
      </c>
    </row>
    <row r="18" spans="1:34">
      <c r="A18" s="850" t="s">
        <v>229</v>
      </c>
      <c r="B18" s="851" t="s">
        <v>599</v>
      </c>
      <c r="C18" s="836"/>
      <c r="D18" s="864"/>
      <c r="E18" s="865">
        <f t="shared" si="2"/>
        <v>0</v>
      </c>
      <c r="F18" s="865"/>
      <c r="G18" s="865"/>
      <c r="H18" s="865">
        <f t="shared" si="3"/>
        <v>0</v>
      </c>
      <c r="I18" s="865">
        <f t="shared" si="0"/>
        <v>0</v>
      </c>
      <c r="J18" s="837"/>
      <c r="K18" s="861">
        <v>0</v>
      </c>
      <c r="L18" s="45"/>
      <c r="M18" s="45"/>
      <c r="N18" s="45"/>
      <c r="O18" s="45"/>
      <c r="P18" s="45"/>
      <c r="Q18" s="870"/>
      <c r="R18" s="871"/>
      <c r="S18" s="871"/>
      <c r="T18" s="871"/>
      <c r="U18" s="868"/>
      <c r="V18" s="869"/>
      <c r="W18" s="869"/>
      <c r="X18" s="869"/>
      <c r="Y18" s="869"/>
      <c r="Z18" s="869"/>
      <c r="AA18" s="869"/>
      <c r="AB18" s="869"/>
      <c r="AC18" s="869"/>
      <c r="AD18" s="869"/>
      <c r="AE18" s="869"/>
      <c r="AF18" s="859"/>
      <c r="AG18" s="842">
        <f t="shared" si="5"/>
        <v>0</v>
      </c>
      <c r="AH18" s="859">
        <f t="shared" si="6"/>
        <v>0</v>
      </c>
    </row>
    <row r="19" spans="1:34">
      <c r="A19" s="850" t="s">
        <v>229</v>
      </c>
      <c r="B19" s="851" t="s">
        <v>600</v>
      </c>
      <c r="C19" s="836"/>
      <c r="D19" s="864"/>
      <c r="E19" s="865">
        <f t="shared" si="2"/>
        <v>0</v>
      </c>
      <c r="F19" s="865"/>
      <c r="G19" s="865"/>
      <c r="H19" s="865">
        <f t="shared" si="3"/>
        <v>0</v>
      </c>
      <c r="I19" s="865">
        <f t="shared" si="0"/>
        <v>0</v>
      </c>
      <c r="J19" s="837"/>
      <c r="K19" s="861">
        <v>0</v>
      </c>
      <c r="L19" s="45"/>
      <c r="M19" s="45"/>
      <c r="N19" s="45"/>
      <c r="O19" s="45"/>
      <c r="P19" s="45"/>
      <c r="Q19" s="870"/>
      <c r="R19" s="871"/>
      <c r="S19" s="871"/>
      <c r="T19" s="871"/>
      <c r="U19" s="871"/>
      <c r="V19" s="868">
        <f>$H19*VLOOKUP(V$33,$B$136:$K$158,10,FALSE)</f>
        <v>0</v>
      </c>
      <c r="W19" s="869">
        <f t="shared" ref="W19:AE19" si="9">$I19*VLOOKUP(W$33,$B$136:$K$158,10,FALSE)</f>
        <v>0</v>
      </c>
      <c r="X19" s="869">
        <f t="shared" si="9"/>
        <v>0</v>
      </c>
      <c r="Y19" s="869">
        <f t="shared" si="9"/>
        <v>0</v>
      </c>
      <c r="Z19" s="869">
        <f t="shared" si="9"/>
        <v>0</v>
      </c>
      <c r="AA19" s="869">
        <f t="shared" si="9"/>
        <v>0</v>
      </c>
      <c r="AB19" s="869">
        <f t="shared" si="9"/>
        <v>0</v>
      </c>
      <c r="AC19" s="869">
        <f t="shared" si="9"/>
        <v>0</v>
      </c>
      <c r="AD19" s="869">
        <f t="shared" si="9"/>
        <v>0</v>
      </c>
      <c r="AE19" s="869">
        <f t="shared" si="9"/>
        <v>0</v>
      </c>
      <c r="AF19" s="859"/>
      <c r="AG19" s="842">
        <f t="shared" si="5"/>
        <v>0</v>
      </c>
      <c r="AH19" s="859">
        <f t="shared" si="6"/>
        <v>0</v>
      </c>
    </row>
    <row r="20" spans="1:34">
      <c r="A20" s="850" t="s">
        <v>229</v>
      </c>
      <c r="B20" s="851" t="s">
        <v>601</v>
      </c>
      <c r="C20" s="864"/>
      <c r="D20" s="864"/>
      <c r="E20" s="865">
        <f t="shared" si="2"/>
        <v>0</v>
      </c>
      <c r="F20" s="865"/>
      <c r="G20" s="865"/>
      <c r="H20" s="865">
        <f t="shared" si="3"/>
        <v>0</v>
      </c>
      <c r="I20" s="865">
        <f t="shared" si="0"/>
        <v>0</v>
      </c>
      <c r="J20" s="837"/>
      <c r="K20" s="861">
        <v>0</v>
      </c>
      <c r="L20" s="45"/>
      <c r="M20" s="45"/>
      <c r="N20" s="45"/>
      <c r="O20" s="45"/>
      <c r="P20" s="45"/>
      <c r="Q20" s="870"/>
      <c r="R20" s="871"/>
      <c r="S20" s="871"/>
      <c r="T20" s="871"/>
      <c r="U20" s="871"/>
      <c r="V20" s="871"/>
      <c r="W20" s="868">
        <f>$H20*VLOOKUP(W$33,$B$136:$K$158,10,FALSE)/2</f>
        <v>0</v>
      </c>
      <c r="X20" s="869">
        <f t="shared" ref="X20:AE20" si="10">$I20*VLOOKUP(X$33,$B$136:$K$158,10,FALSE)</f>
        <v>0</v>
      </c>
      <c r="Y20" s="869">
        <f t="shared" si="10"/>
        <v>0</v>
      </c>
      <c r="Z20" s="869">
        <f t="shared" si="10"/>
        <v>0</v>
      </c>
      <c r="AA20" s="869">
        <f t="shared" si="10"/>
        <v>0</v>
      </c>
      <c r="AB20" s="869">
        <f t="shared" si="10"/>
        <v>0</v>
      </c>
      <c r="AC20" s="869">
        <f t="shared" si="10"/>
        <v>0</v>
      </c>
      <c r="AD20" s="869">
        <f t="shared" si="10"/>
        <v>0</v>
      </c>
      <c r="AE20" s="869">
        <f t="shared" si="10"/>
        <v>0</v>
      </c>
      <c r="AF20" s="859"/>
      <c r="AG20" s="842">
        <f t="shared" si="5"/>
        <v>0</v>
      </c>
      <c r="AH20" s="859">
        <f t="shared" si="6"/>
        <v>0</v>
      </c>
    </row>
    <row r="21" spans="1:34">
      <c r="A21" s="850" t="s">
        <v>229</v>
      </c>
      <c r="B21" s="851" t="s">
        <v>602</v>
      </c>
      <c r="C21" s="864"/>
      <c r="D21" s="864"/>
      <c r="E21" s="865">
        <f t="shared" si="2"/>
        <v>0</v>
      </c>
      <c r="F21" s="865"/>
      <c r="G21" s="865"/>
      <c r="H21" s="865">
        <f t="shared" si="3"/>
        <v>0</v>
      </c>
      <c r="I21" s="865">
        <f>H21</f>
        <v>0</v>
      </c>
      <c r="J21" s="837"/>
      <c r="K21" s="861">
        <v>0</v>
      </c>
      <c r="L21" s="45"/>
      <c r="M21" s="45"/>
      <c r="N21" s="45"/>
      <c r="O21" s="45"/>
      <c r="P21" s="45"/>
      <c r="Q21" s="870"/>
      <c r="R21" s="871"/>
      <c r="S21" s="871"/>
      <c r="T21" s="871"/>
      <c r="U21" s="871"/>
      <c r="V21" s="871"/>
      <c r="W21" s="871"/>
      <c r="X21" s="868">
        <f>$H21*VLOOKUP(X$33,$B$136:$K$158,10,FALSE)/2</f>
        <v>0</v>
      </c>
      <c r="Y21" s="869">
        <f t="shared" ref="Y21:AE21" si="11">$I21*VLOOKUP(Y$33,$B$136:$K$158,10,FALSE)</f>
        <v>0</v>
      </c>
      <c r="Z21" s="869">
        <f t="shared" si="11"/>
        <v>0</v>
      </c>
      <c r="AA21" s="869">
        <f t="shared" si="11"/>
        <v>0</v>
      </c>
      <c r="AB21" s="869">
        <f t="shared" si="11"/>
        <v>0</v>
      </c>
      <c r="AC21" s="869">
        <f t="shared" si="11"/>
        <v>0</v>
      </c>
      <c r="AD21" s="869">
        <f t="shared" si="11"/>
        <v>0</v>
      </c>
      <c r="AE21" s="869">
        <f t="shared" si="11"/>
        <v>0</v>
      </c>
      <c r="AF21" s="859"/>
      <c r="AG21" s="842">
        <f t="shared" si="5"/>
        <v>0</v>
      </c>
      <c r="AH21" s="859">
        <f t="shared" si="6"/>
        <v>0</v>
      </c>
    </row>
    <row r="22" spans="1:34">
      <c r="A22" s="850" t="s">
        <v>229</v>
      </c>
      <c r="B22" s="851" t="s">
        <v>603</v>
      </c>
      <c r="C22" s="864"/>
      <c r="D22" s="865"/>
      <c r="E22" s="865">
        <f t="shared" si="2"/>
        <v>0</v>
      </c>
      <c r="F22" s="865"/>
      <c r="G22" s="865"/>
      <c r="H22" s="865">
        <f t="shared" si="3"/>
        <v>0</v>
      </c>
      <c r="I22" s="865">
        <f>H22</f>
        <v>0</v>
      </c>
      <c r="J22" s="837"/>
      <c r="K22" s="861">
        <v>0</v>
      </c>
      <c r="L22" s="45"/>
      <c r="M22" s="45"/>
      <c r="N22" s="45"/>
      <c r="O22" s="45"/>
      <c r="P22" s="45"/>
      <c r="Q22" s="870"/>
      <c r="R22" s="871"/>
      <c r="S22" s="871"/>
      <c r="T22" s="871"/>
      <c r="U22" s="871"/>
      <c r="V22" s="871"/>
      <c r="W22" s="871"/>
      <c r="X22" s="871"/>
      <c r="Y22" s="868">
        <f>$H22*VLOOKUP(Y$33,$B$136:$K$158,10,FALSE)/2</f>
        <v>0</v>
      </c>
      <c r="Z22" s="869">
        <f t="shared" ref="Z22:AE22" si="12">$I22*VLOOKUP(Z$33,$B$136:$K$158,10,FALSE)</f>
        <v>0</v>
      </c>
      <c r="AA22" s="869">
        <f t="shared" si="12"/>
        <v>0</v>
      </c>
      <c r="AB22" s="869">
        <f t="shared" si="12"/>
        <v>0</v>
      </c>
      <c r="AC22" s="869">
        <f t="shared" si="12"/>
        <v>0</v>
      </c>
      <c r="AD22" s="869">
        <f t="shared" si="12"/>
        <v>0</v>
      </c>
      <c r="AE22" s="869">
        <f t="shared" si="12"/>
        <v>0</v>
      </c>
      <c r="AF22" s="859"/>
      <c r="AG22" s="842">
        <f t="shared" si="5"/>
        <v>0</v>
      </c>
      <c r="AH22" s="859">
        <f t="shared" si="6"/>
        <v>0</v>
      </c>
    </row>
    <row r="23" spans="1:34">
      <c r="A23" s="850" t="s">
        <v>229</v>
      </c>
      <c r="B23" s="851" t="s">
        <v>607</v>
      </c>
      <c r="C23" s="865"/>
      <c r="D23" s="865"/>
      <c r="E23" s="865">
        <f t="shared" si="2"/>
        <v>0</v>
      </c>
      <c r="F23" s="865"/>
      <c r="G23" s="865"/>
      <c r="H23" s="865">
        <f t="shared" si="3"/>
        <v>0</v>
      </c>
      <c r="I23" s="865">
        <f t="shared" ref="I23:I28" si="13">H23</f>
        <v>0</v>
      </c>
      <c r="J23" s="837"/>
      <c r="K23" s="861">
        <v>0</v>
      </c>
      <c r="L23" s="45"/>
      <c r="M23" s="45"/>
      <c r="N23" s="45"/>
      <c r="O23" s="45"/>
      <c r="P23" s="45"/>
      <c r="Q23" s="870"/>
      <c r="R23" s="871"/>
      <c r="S23" s="871"/>
      <c r="T23" s="871"/>
      <c r="U23" s="871"/>
      <c r="V23" s="871"/>
      <c r="W23" s="871"/>
      <c r="X23" s="871"/>
      <c r="Y23" s="871"/>
      <c r="Z23" s="868">
        <f>$H23*VLOOKUP(Z$33,$B$136:$K$158,10,FALSE)/2</f>
        <v>0</v>
      </c>
      <c r="AA23" s="869">
        <f>$I23*VLOOKUP(AA$33,$B$136:$K$158,10,FALSE)</f>
        <v>0</v>
      </c>
      <c r="AB23" s="869">
        <f>$I23*VLOOKUP(AB$33,$B$136:$K$158,10,FALSE)</f>
        <v>0</v>
      </c>
      <c r="AC23" s="869">
        <f>$I23*VLOOKUP(AC$33,$B$136:$K$158,10,FALSE)</f>
        <v>0</v>
      </c>
      <c r="AD23" s="869">
        <f>$I23*VLOOKUP(AD$33,$B$136:$K$158,10,FALSE)</f>
        <v>0</v>
      </c>
      <c r="AE23" s="869">
        <f>$I23*VLOOKUP(AE$33,$B$136:$K$158,10,FALSE)</f>
        <v>0</v>
      </c>
      <c r="AF23" s="859"/>
      <c r="AG23" s="842">
        <f t="shared" si="5"/>
        <v>0</v>
      </c>
      <c r="AH23" s="859">
        <f t="shared" si="6"/>
        <v>0</v>
      </c>
    </row>
    <row r="24" spans="1:34">
      <c r="A24" s="850" t="s">
        <v>229</v>
      </c>
      <c r="B24" s="851" t="s">
        <v>608</v>
      </c>
      <c r="C24" s="865">
        <f>'F4'!T15</f>
        <v>0.70479999999999998</v>
      </c>
      <c r="D24" s="865"/>
      <c r="E24" s="865">
        <f t="shared" si="2"/>
        <v>0.70479999999999998</v>
      </c>
      <c r="F24" s="865"/>
      <c r="G24" s="865"/>
      <c r="H24" s="865">
        <f t="shared" si="3"/>
        <v>0.70479999999999998</v>
      </c>
      <c r="I24" s="865">
        <f t="shared" si="13"/>
        <v>0.70479999999999998</v>
      </c>
      <c r="J24" s="837"/>
      <c r="K24" s="861">
        <v>0</v>
      </c>
      <c r="L24" s="45"/>
      <c r="M24" s="45"/>
      <c r="N24" s="45"/>
      <c r="O24" s="45"/>
      <c r="P24" s="45"/>
      <c r="Q24" s="870"/>
      <c r="R24" s="871"/>
      <c r="S24" s="871"/>
      <c r="T24" s="871"/>
      <c r="U24" s="871"/>
      <c r="V24" s="871"/>
      <c r="W24" s="871"/>
      <c r="X24" s="871"/>
      <c r="Y24" s="871"/>
      <c r="Z24" s="871"/>
      <c r="AA24" s="868">
        <f>$H24*VLOOKUP(AA$33,$B$136:$K$158,10,FALSE)/2</f>
        <v>1.177016E-2</v>
      </c>
      <c r="AB24" s="869">
        <f>$I24*VLOOKUP(AB$33,$B$136:$K$158,10,FALSE)</f>
        <v>2.354032E-2</v>
      </c>
      <c r="AC24" s="869">
        <f>$I24*VLOOKUP(AC$33,$B$136:$K$158,10,FALSE)</f>
        <v>2.354032E-2</v>
      </c>
      <c r="AD24" s="869">
        <f>$I24*VLOOKUP(AD$33,$B$136:$K$158,10,FALSE)</f>
        <v>2.354032E-2</v>
      </c>
      <c r="AE24" s="869">
        <f>$I24*VLOOKUP(AE$33,$B$136:$K$158,10,FALSE)</f>
        <v>2.354032E-2</v>
      </c>
      <c r="AF24" s="859"/>
      <c r="AG24" s="842">
        <f t="shared" si="5"/>
        <v>0.15030000000000002</v>
      </c>
      <c r="AH24" s="859">
        <f t="shared" si="6"/>
        <v>0.59886855999999999</v>
      </c>
    </row>
    <row r="25" spans="1:34">
      <c r="A25" s="850" t="s">
        <v>229</v>
      </c>
      <c r="B25" s="851" t="s">
        <v>609</v>
      </c>
      <c r="C25" s="865"/>
      <c r="D25" s="865"/>
      <c r="E25" s="865">
        <f t="shared" si="2"/>
        <v>0</v>
      </c>
      <c r="F25" s="865"/>
      <c r="G25" s="865"/>
      <c r="H25" s="865">
        <f t="shared" si="3"/>
        <v>0</v>
      </c>
      <c r="I25" s="865">
        <f t="shared" si="13"/>
        <v>0</v>
      </c>
      <c r="J25" s="837"/>
      <c r="K25" s="861">
        <v>0</v>
      </c>
      <c r="L25" s="45"/>
      <c r="M25" s="45"/>
      <c r="N25" s="45"/>
      <c r="O25" s="45"/>
      <c r="P25" s="45"/>
      <c r="Q25" s="870"/>
      <c r="R25" s="871"/>
      <c r="S25" s="871"/>
      <c r="T25" s="871"/>
      <c r="U25" s="871"/>
      <c r="V25" s="871"/>
      <c r="W25" s="871"/>
      <c r="X25" s="871"/>
      <c r="Y25" s="871"/>
      <c r="Z25" s="871"/>
      <c r="AA25" s="871"/>
      <c r="AB25" s="868">
        <f>$H25*VLOOKUP(AB$33,$B$136:$K$158,10,FALSE)/2</f>
        <v>0</v>
      </c>
      <c r="AC25" s="869">
        <f>$I25*VLOOKUP(AC$33,$B$136:$K$158,10,FALSE)</f>
        <v>0</v>
      </c>
      <c r="AD25" s="869">
        <f>$I25*VLOOKUP(AD$33,$B$136:$K$158,10,FALSE)</f>
        <v>0</v>
      </c>
      <c r="AE25" s="869">
        <f>$I25*VLOOKUP(AE$33,$B$136:$K$158,10,FALSE)</f>
        <v>0</v>
      </c>
      <c r="AF25" s="859"/>
      <c r="AG25" s="842">
        <f t="shared" si="5"/>
        <v>0</v>
      </c>
      <c r="AH25" s="859">
        <f t="shared" si="6"/>
        <v>0</v>
      </c>
    </row>
    <row r="26" spans="1:34">
      <c r="A26" s="850" t="s">
        <v>229</v>
      </c>
      <c r="B26" s="851" t="s">
        <v>610</v>
      </c>
      <c r="C26" s="865"/>
      <c r="D26" s="865"/>
      <c r="E26" s="865">
        <f t="shared" si="2"/>
        <v>0</v>
      </c>
      <c r="F26" s="865"/>
      <c r="G26" s="865"/>
      <c r="H26" s="865">
        <f t="shared" si="3"/>
        <v>0</v>
      </c>
      <c r="I26" s="865">
        <f t="shared" si="13"/>
        <v>0</v>
      </c>
      <c r="J26" s="837"/>
      <c r="K26" s="861">
        <v>0</v>
      </c>
      <c r="L26" s="45"/>
      <c r="M26" s="45"/>
      <c r="N26" s="45"/>
      <c r="O26" s="45"/>
      <c r="P26" s="45"/>
      <c r="Q26" s="870"/>
      <c r="R26" s="871"/>
      <c r="S26" s="871"/>
      <c r="T26" s="871"/>
      <c r="U26" s="871"/>
      <c r="V26" s="871"/>
      <c r="W26" s="871"/>
      <c r="X26" s="871"/>
      <c r="Y26" s="871"/>
      <c r="Z26" s="871"/>
      <c r="AA26" s="871"/>
      <c r="AB26" s="871"/>
      <c r="AC26" s="868">
        <f>$H26*VLOOKUP(AC$33,$B$136:$K$158,10,FALSE)/2</f>
        <v>0</v>
      </c>
      <c r="AD26" s="869">
        <f>$I26*VLOOKUP(AD$33,$B$136:$K$158,10,FALSE)</f>
        <v>0</v>
      </c>
      <c r="AE26" s="869">
        <f>$I26*VLOOKUP(AE$33,$B$136:$K$158,10,FALSE)</f>
        <v>0</v>
      </c>
      <c r="AF26" s="859"/>
      <c r="AG26" s="842">
        <f t="shared" si="5"/>
        <v>0</v>
      </c>
      <c r="AH26" s="859">
        <f t="shared" si="6"/>
        <v>0</v>
      </c>
    </row>
    <row r="27" spans="1:34">
      <c r="A27" s="850" t="s">
        <v>229</v>
      </c>
      <c r="B27" s="851" t="s">
        <v>611</v>
      </c>
      <c r="C27" s="865"/>
      <c r="D27" s="865"/>
      <c r="E27" s="865">
        <f t="shared" si="2"/>
        <v>0</v>
      </c>
      <c r="F27" s="865"/>
      <c r="G27" s="865"/>
      <c r="H27" s="865">
        <f t="shared" si="3"/>
        <v>0</v>
      </c>
      <c r="I27" s="865">
        <f t="shared" si="13"/>
        <v>0</v>
      </c>
      <c r="J27" s="837"/>
      <c r="K27" s="861">
        <v>0</v>
      </c>
      <c r="L27" s="45"/>
      <c r="M27" s="45"/>
      <c r="N27" s="45"/>
      <c r="O27" s="45"/>
      <c r="P27" s="45"/>
      <c r="Q27" s="870"/>
      <c r="R27" s="871"/>
      <c r="S27" s="871"/>
      <c r="T27" s="871"/>
      <c r="U27" s="871"/>
      <c r="V27" s="871"/>
      <c r="W27" s="871"/>
      <c r="X27" s="871"/>
      <c r="Y27" s="871"/>
      <c r="Z27" s="871"/>
      <c r="AA27" s="871"/>
      <c r="AB27" s="871"/>
      <c r="AC27" s="871"/>
      <c r="AD27" s="868">
        <f>$H27*VLOOKUP(AD$33,$B$136:$K$158,10,FALSE)/2</f>
        <v>0</v>
      </c>
      <c r="AE27" s="869">
        <f>$I27*VLOOKUP(AE$33,$B$136:$K$158,10,FALSE)</f>
        <v>0</v>
      </c>
      <c r="AF27" s="859"/>
      <c r="AG27" s="842">
        <f t="shared" si="5"/>
        <v>0</v>
      </c>
      <c r="AH27" s="859">
        <f t="shared" si="6"/>
        <v>0</v>
      </c>
    </row>
    <row r="28" spans="1:34">
      <c r="A28" s="850" t="s">
        <v>229</v>
      </c>
      <c r="B28" s="851" t="s">
        <v>612</v>
      </c>
      <c r="C28" s="865"/>
      <c r="D28" s="865"/>
      <c r="E28" s="865">
        <f t="shared" si="2"/>
        <v>0</v>
      </c>
      <c r="F28" s="865"/>
      <c r="G28" s="865"/>
      <c r="H28" s="865">
        <f t="shared" si="3"/>
        <v>0</v>
      </c>
      <c r="I28" s="865">
        <f t="shared" si="13"/>
        <v>0</v>
      </c>
      <c r="J28" s="837"/>
      <c r="K28" s="861">
        <v>0</v>
      </c>
      <c r="L28" s="45"/>
      <c r="M28" s="45"/>
      <c r="N28" s="45"/>
      <c r="O28" s="45"/>
      <c r="P28" s="45"/>
      <c r="Q28" s="870"/>
      <c r="R28" s="871"/>
      <c r="S28" s="871"/>
      <c r="T28" s="871"/>
      <c r="U28" s="871"/>
      <c r="V28" s="871"/>
      <c r="W28" s="871"/>
      <c r="X28" s="871"/>
      <c r="Y28" s="871"/>
      <c r="Z28" s="871"/>
      <c r="AA28" s="871"/>
      <c r="AB28" s="871"/>
      <c r="AC28" s="871"/>
      <c r="AD28" s="871"/>
      <c r="AE28" s="868">
        <f>$H28*VLOOKUP(AE$33,$B$136:$K$158,10,FALSE)/2</f>
        <v>0</v>
      </c>
      <c r="AF28" s="859"/>
      <c r="AG28" s="842">
        <f t="shared" si="5"/>
        <v>0</v>
      </c>
      <c r="AH28" s="859">
        <f t="shared" si="6"/>
        <v>0</v>
      </c>
    </row>
    <row r="29" spans="1:34">
      <c r="A29" s="853"/>
      <c r="B29" s="854" t="s">
        <v>23</v>
      </c>
      <c r="C29" s="866">
        <f>SUM(C14:C28)</f>
        <v>0.70479999999999998</v>
      </c>
      <c r="D29" s="866">
        <f>SUM(D14:D28)</f>
        <v>0</v>
      </c>
      <c r="E29" s="866">
        <f>SUM(E14:E28)</f>
        <v>0.70479999999999998</v>
      </c>
      <c r="F29" s="866">
        <f t="shared" ref="F29:J29" si="14">SUM(F14:F28)</f>
        <v>0</v>
      </c>
      <c r="G29" s="866">
        <f t="shared" si="14"/>
        <v>0</v>
      </c>
      <c r="H29" s="866">
        <f t="shared" si="14"/>
        <v>0.70479999999999998</v>
      </c>
      <c r="I29" s="866">
        <f t="shared" si="14"/>
        <v>0.70479999999999998</v>
      </c>
      <c r="J29" s="855">
        <f t="shared" si="14"/>
        <v>0</v>
      </c>
      <c r="K29" s="855"/>
      <c r="L29" s="855">
        <f t="shared" ref="L29:P29" si="15">SUM(L14:L28)</f>
        <v>0</v>
      </c>
      <c r="M29" s="855">
        <f t="shared" si="15"/>
        <v>0</v>
      </c>
      <c r="N29" s="855">
        <f t="shared" si="15"/>
        <v>0</v>
      </c>
      <c r="O29" s="855">
        <f t="shared" si="15"/>
        <v>0</v>
      </c>
      <c r="P29" s="855">
        <f t="shared" si="15"/>
        <v>0</v>
      </c>
      <c r="Q29" s="872">
        <f>SUM(Q8:Q28)</f>
        <v>0</v>
      </c>
      <c r="R29" s="872">
        <f t="shared" ref="R29" si="16">SUM(R8:R28)</f>
        <v>0</v>
      </c>
      <c r="S29" s="872">
        <f t="shared" ref="S29" si="17">SUM(S8:S28)</f>
        <v>0</v>
      </c>
      <c r="T29" s="872">
        <f t="shared" ref="T29" si="18">SUM(T8:T28)</f>
        <v>0</v>
      </c>
      <c r="U29" s="872">
        <f t="shared" ref="U29" si="19">SUM(U8:U28)</f>
        <v>0</v>
      </c>
      <c r="V29" s="872">
        <f t="shared" ref="V29" si="20">SUM(V8:V28)</f>
        <v>0</v>
      </c>
      <c r="W29" s="872">
        <f t="shared" ref="W29" si="21">SUM(W8:W28)</f>
        <v>0</v>
      </c>
      <c r="X29" s="872">
        <f t="shared" ref="X29" si="22">SUM(X8:X28)</f>
        <v>0</v>
      </c>
      <c r="Y29" s="872">
        <f t="shared" ref="Y29" si="23">SUM(Y8:Y28)</f>
        <v>0</v>
      </c>
      <c r="Z29" s="872">
        <f t="shared" ref="Z29" si="24">SUM(Z8:Z28)</f>
        <v>0</v>
      </c>
      <c r="AA29" s="872">
        <f t="shared" ref="AA29" si="25">SUM(AA8:AA28)</f>
        <v>1.177016E-2</v>
      </c>
      <c r="AB29" s="872">
        <f t="shared" ref="AB29" si="26">SUM(AB8:AB28)</f>
        <v>2.354032E-2</v>
      </c>
      <c r="AC29" s="872">
        <f t="shared" ref="AC29" si="27">SUM(AC8:AC28)</f>
        <v>2.354032E-2</v>
      </c>
      <c r="AD29" s="872">
        <f t="shared" ref="AD29" si="28">SUM(AD8:AD28)</f>
        <v>2.354032E-2</v>
      </c>
      <c r="AE29" s="872">
        <f t="shared" ref="AE29" si="29">SUM(AE8:AE28)</f>
        <v>2.354032E-2</v>
      </c>
      <c r="AF29" s="839">
        <f t="shared" ref="AF29" si="30">SUM(AF14:AF28)</f>
        <v>0</v>
      </c>
      <c r="AG29" s="839"/>
      <c r="AH29" s="839">
        <f t="shared" ref="AH29" si="31">SUM(AH14:AH28)</f>
        <v>0.59886855999999999</v>
      </c>
    </row>
    <row r="31" spans="1:34">
      <c r="B31" s="844" t="str">
        <f>'F4'!C16</f>
        <v>Plant &amp; Machinery</v>
      </c>
      <c r="L31" s="846" t="s">
        <v>33</v>
      </c>
    </row>
    <row r="32" spans="1:34" ht="30">
      <c r="A32" s="847"/>
      <c r="B32" s="857" t="s">
        <v>431</v>
      </c>
      <c r="C32" s="1221" t="s">
        <v>229</v>
      </c>
      <c r="D32" s="1221" t="s">
        <v>934</v>
      </c>
      <c r="E32" s="1221" t="s">
        <v>935</v>
      </c>
      <c r="F32" s="1221" t="s">
        <v>936</v>
      </c>
      <c r="G32" s="1221" t="s">
        <v>937</v>
      </c>
      <c r="H32" s="1221" t="s">
        <v>938</v>
      </c>
      <c r="I32" s="1221" t="s">
        <v>939</v>
      </c>
      <c r="J32" s="1223" t="s">
        <v>589</v>
      </c>
      <c r="K32" s="1223" t="s">
        <v>641</v>
      </c>
      <c r="L32" s="1226" t="s">
        <v>642</v>
      </c>
      <c r="M32" s="1226"/>
      <c r="N32" s="1226"/>
      <c r="O32" s="1226"/>
      <c r="P32" s="1226"/>
      <c r="Q32" s="1226"/>
      <c r="R32" s="1226"/>
      <c r="S32" s="1226"/>
      <c r="T32" s="1226"/>
      <c r="U32" s="1226"/>
      <c r="V32" s="1226"/>
      <c r="W32" s="1226"/>
      <c r="X32" s="1226"/>
      <c r="Y32" s="1226"/>
      <c r="Z32" s="1226"/>
      <c r="AA32" s="1226"/>
      <c r="AB32" s="1226"/>
      <c r="AC32" s="1226"/>
      <c r="AD32" s="1226"/>
      <c r="AE32" s="1226"/>
      <c r="AF32" s="848" t="s">
        <v>925</v>
      </c>
      <c r="AG32" s="848" t="s">
        <v>604</v>
      </c>
      <c r="AH32" s="848" t="s">
        <v>605</v>
      </c>
    </row>
    <row r="33" spans="1:34">
      <c r="A33" s="847"/>
      <c r="B33" s="857"/>
      <c r="C33" s="1222"/>
      <c r="D33" s="1222"/>
      <c r="E33" s="1222"/>
      <c r="F33" s="1222"/>
      <c r="G33" s="1222"/>
      <c r="H33" s="1222"/>
      <c r="I33" s="1227"/>
      <c r="J33" s="1224"/>
      <c r="K33" s="1224"/>
      <c r="L33" s="849" t="s">
        <v>590</v>
      </c>
      <c r="M33" s="849" t="s">
        <v>591</v>
      </c>
      <c r="N33" s="849" t="s">
        <v>592</v>
      </c>
      <c r="O33" s="849" t="s">
        <v>593</v>
      </c>
      <c r="P33" s="849" t="s">
        <v>594</v>
      </c>
      <c r="Q33" s="849" t="s">
        <v>595</v>
      </c>
      <c r="R33" s="849" t="s">
        <v>596</v>
      </c>
      <c r="S33" s="849" t="s">
        <v>597</v>
      </c>
      <c r="T33" s="849" t="s">
        <v>598</v>
      </c>
      <c r="U33" s="849" t="s">
        <v>599</v>
      </c>
      <c r="V33" s="849" t="s">
        <v>600</v>
      </c>
      <c r="W33" s="849" t="s">
        <v>601</v>
      </c>
      <c r="X33" s="849" t="s">
        <v>602</v>
      </c>
      <c r="Y33" s="849" t="s">
        <v>603</v>
      </c>
      <c r="Z33" s="849" t="s">
        <v>607</v>
      </c>
      <c r="AA33" s="849" t="s">
        <v>608</v>
      </c>
      <c r="AB33" s="849" t="s">
        <v>609</v>
      </c>
      <c r="AC33" s="849" t="s">
        <v>610</v>
      </c>
      <c r="AD33" s="849" t="s">
        <v>611</v>
      </c>
      <c r="AE33" s="849" t="s">
        <v>612</v>
      </c>
      <c r="AF33" s="848"/>
      <c r="AG33" s="848"/>
      <c r="AH33" s="848"/>
    </row>
    <row r="34" spans="1:34" ht="12.75" customHeight="1">
      <c r="A34" s="850" t="s">
        <v>606</v>
      </c>
      <c r="B34" s="851">
        <v>2005</v>
      </c>
      <c r="C34" s="852"/>
      <c r="D34" s="852"/>
      <c r="E34" s="852"/>
      <c r="F34" s="852"/>
      <c r="G34" s="852"/>
      <c r="H34" s="852"/>
      <c r="I34" s="852"/>
      <c r="J34" s="860"/>
      <c r="K34" s="861"/>
      <c r="L34" s="43"/>
      <c r="M34" s="43"/>
      <c r="N34" s="43"/>
      <c r="O34" s="43"/>
      <c r="P34" s="43"/>
      <c r="Q34" s="43"/>
      <c r="R34" s="43"/>
      <c r="S34" s="43"/>
      <c r="T34" s="43"/>
      <c r="U34" s="43"/>
      <c r="V34" s="43"/>
      <c r="W34" s="43"/>
      <c r="X34" s="43"/>
      <c r="Y34" s="43"/>
      <c r="Z34" s="43"/>
      <c r="AA34" s="43"/>
      <c r="AB34" s="43"/>
      <c r="AC34" s="43"/>
      <c r="AD34" s="43"/>
      <c r="AE34" s="43"/>
      <c r="AF34" s="859"/>
      <c r="AG34" s="859"/>
      <c r="AH34" s="859"/>
    </row>
    <row r="35" spans="1:34">
      <c r="A35" s="850" t="s">
        <v>229</v>
      </c>
      <c r="B35" s="851" t="s">
        <v>590</v>
      </c>
      <c r="C35" s="852"/>
      <c r="D35" s="852"/>
      <c r="E35" s="852"/>
      <c r="F35" s="852"/>
      <c r="G35" s="852"/>
      <c r="H35" s="852"/>
      <c r="I35" s="852"/>
      <c r="J35" s="860"/>
      <c r="K35" s="861"/>
      <c r="L35" s="44"/>
      <c r="M35" s="43"/>
      <c r="N35" s="43"/>
      <c r="O35" s="43"/>
      <c r="P35" s="43"/>
      <c r="Q35" s="43"/>
      <c r="R35" s="43"/>
      <c r="S35" s="43"/>
      <c r="T35" s="43"/>
      <c r="U35" s="43"/>
      <c r="V35" s="43"/>
      <c r="W35" s="43"/>
      <c r="X35" s="43"/>
      <c r="Y35" s="43"/>
      <c r="Z35" s="43"/>
      <c r="AA35" s="43"/>
      <c r="AB35" s="43"/>
      <c r="AC35" s="43"/>
      <c r="AD35" s="43"/>
      <c r="AE35" s="43"/>
      <c r="AF35" s="859"/>
      <c r="AG35" s="859"/>
      <c r="AH35" s="859"/>
    </row>
    <row r="36" spans="1:34">
      <c r="A36" s="850" t="s">
        <v>229</v>
      </c>
      <c r="B36" s="851" t="s">
        <v>591</v>
      </c>
      <c r="C36" s="852"/>
      <c r="D36" s="852"/>
      <c r="E36" s="852"/>
      <c r="F36" s="852"/>
      <c r="G36" s="852"/>
      <c r="H36" s="852"/>
      <c r="I36" s="852"/>
      <c r="J36" s="860"/>
      <c r="K36" s="861"/>
      <c r="L36" s="45"/>
      <c r="M36" s="44"/>
      <c r="N36" s="43"/>
      <c r="O36" s="43"/>
      <c r="P36" s="43"/>
      <c r="Q36" s="43"/>
      <c r="R36" s="43"/>
      <c r="S36" s="43"/>
      <c r="T36" s="43"/>
      <c r="U36" s="43"/>
      <c r="V36" s="43"/>
      <c r="W36" s="43"/>
      <c r="X36" s="43"/>
      <c r="Y36" s="43"/>
      <c r="Z36" s="43"/>
      <c r="AA36" s="43"/>
      <c r="AB36" s="43"/>
      <c r="AC36" s="43"/>
      <c r="AD36" s="43"/>
      <c r="AE36" s="43"/>
      <c r="AF36" s="859"/>
      <c r="AG36" s="859"/>
      <c r="AH36" s="859"/>
    </row>
    <row r="37" spans="1:34">
      <c r="A37" s="850" t="s">
        <v>229</v>
      </c>
      <c r="B37" s="851" t="s">
        <v>592</v>
      </c>
      <c r="C37" s="852"/>
      <c r="D37" s="852"/>
      <c r="E37" s="852"/>
      <c r="F37" s="852"/>
      <c r="G37" s="852"/>
      <c r="H37" s="852"/>
      <c r="I37" s="852"/>
      <c r="J37" s="860"/>
      <c r="K37" s="861"/>
      <c r="L37" s="45"/>
      <c r="M37" s="45"/>
      <c r="N37" s="44"/>
      <c r="O37" s="43"/>
      <c r="P37" s="43"/>
      <c r="Q37" s="43"/>
      <c r="R37" s="43"/>
      <c r="S37" s="43"/>
      <c r="T37" s="43"/>
      <c r="U37" s="43"/>
      <c r="V37" s="43"/>
      <c r="W37" s="43"/>
      <c r="X37" s="43"/>
      <c r="Y37" s="43"/>
      <c r="Z37" s="43"/>
      <c r="AA37" s="43"/>
      <c r="AB37" s="43"/>
      <c r="AC37" s="43"/>
      <c r="AD37" s="43"/>
      <c r="AE37" s="43"/>
      <c r="AF37" s="859"/>
      <c r="AG37" s="859"/>
      <c r="AH37" s="859"/>
    </row>
    <row r="38" spans="1:34">
      <c r="A38" s="850" t="s">
        <v>229</v>
      </c>
      <c r="B38" s="851" t="s">
        <v>593</v>
      </c>
      <c r="C38" s="852"/>
      <c r="D38" s="852"/>
      <c r="E38" s="852"/>
      <c r="F38" s="852"/>
      <c r="G38" s="852"/>
      <c r="H38" s="852"/>
      <c r="I38" s="852"/>
      <c r="J38" s="860"/>
      <c r="K38" s="861"/>
      <c r="L38" s="45"/>
      <c r="M38" s="45"/>
      <c r="N38" s="45"/>
      <c r="O38" s="44"/>
      <c r="P38" s="43"/>
      <c r="Q38" s="43"/>
      <c r="R38" s="43"/>
      <c r="S38" s="43"/>
      <c r="T38" s="43"/>
      <c r="U38" s="43"/>
      <c r="V38" s="43"/>
      <c r="W38" s="43"/>
      <c r="X38" s="43"/>
      <c r="Y38" s="43"/>
      <c r="Z38" s="43"/>
      <c r="AA38" s="43"/>
      <c r="AB38" s="43"/>
      <c r="AC38" s="43"/>
      <c r="AD38" s="43"/>
      <c r="AE38" s="43"/>
      <c r="AF38" s="859"/>
      <c r="AG38" s="859"/>
      <c r="AH38" s="859"/>
    </row>
    <row r="39" spans="1:34">
      <c r="A39" s="850" t="s">
        <v>229</v>
      </c>
      <c r="B39" s="851" t="s">
        <v>594</v>
      </c>
      <c r="C39" s="852"/>
      <c r="D39" s="852"/>
      <c r="E39" s="852"/>
      <c r="F39" s="852"/>
      <c r="G39" s="852"/>
      <c r="H39" s="852"/>
      <c r="I39" s="852"/>
      <c r="J39" s="860"/>
      <c r="K39" s="861"/>
      <c r="L39" s="45"/>
      <c r="M39" s="45"/>
      <c r="N39" s="45"/>
      <c r="O39" s="45"/>
      <c r="P39" s="44"/>
      <c r="Q39" s="43"/>
      <c r="R39" s="43"/>
      <c r="S39" s="43"/>
      <c r="T39" s="43"/>
      <c r="U39" s="43"/>
      <c r="V39" s="43"/>
      <c r="W39" s="43"/>
      <c r="X39" s="43"/>
      <c r="Y39" s="43"/>
      <c r="Z39" s="43"/>
      <c r="AA39" s="43"/>
      <c r="AB39" s="43"/>
      <c r="AC39" s="43"/>
      <c r="AD39" s="43"/>
      <c r="AE39" s="43"/>
      <c r="AF39" s="859"/>
      <c r="AG39" s="859"/>
      <c r="AH39" s="859"/>
    </row>
    <row r="40" spans="1:34">
      <c r="A40" s="850" t="s">
        <v>229</v>
      </c>
      <c r="B40" s="851" t="s">
        <v>595</v>
      </c>
      <c r="C40" s="836">
        <f>1798641088/(10^7)</f>
        <v>179.8641088</v>
      </c>
      <c r="D40" s="836">
        <f>0/(10^7)</f>
        <v>0</v>
      </c>
      <c r="E40" s="837">
        <f>C40+D40</f>
        <v>179.8641088</v>
      </c>
      <c r="F40" s="836">
        <f>-3500000/(10^7)</f>
        <v>-0.35</v>
      </c>
      <c r="G40" s="836">
        <f>(-(G46+G41))</f>
        <v>-2.2581393000000003</v>
      </c>
      <c r="H40" s="837">
        <f>E40+F40+G40</f>
        <v>177.25596949999999</v>
      </c>
      <c r="I40" s="837">
        <f>H40</f>
        <v>177.25596949999999</v>
      </c>
      <c r="J40" s="837"/>
      <c r="K40" s="861">
        <f>2.57%+2.54%</f>
        <v>5.1099999999999993E-2</v>
      </c>
      <c r="L40" s="45"/>
      <c r="M40" s="45"/>
      <c r="N40" s="45"/>
      <c r="O40" s="45"/>
      <c r="P40" s="45"/>
      <c r="Q40" s="840">
        <f>$H40*VLOOKUP(Q$33,$B$32:$K$54,10,FALSE)/365*268</f>
        <v>6.6506439756399987</v>
      </c>
      <c r="R40" s="841">
        <f>$H40*VLOOKUP(R$33,$B$32:$K$54,10,FALSE)</f>
        <v>4.5554784161499997</v>
      </c>
      <c r="S40" s="841">
        <f t="shared" ref="S40:AE40" si="32">$H40*VLOOKUP(S$33,$B$32:$K$54,10,FALSE)</f>
        <v>9.3591151895999989</v>
      </c>
      <c r="T40" s="841">
        <f t="shared" si="32"/>
        <v>9.3591151895999989</v>
      </c>
      <c r="U40" s="841">
        <f t="shared" si="32"/>
        <v>9.3591151895999989</v>
      </c>
      <c r="V40" s="841">
        <f t="shared" si="32"/>
        <v>9.3591151895999989</v>
      </c>
      <c r="W40" s="841">
        <f t="shared" si="32"/>
        <v>9.3236639957000005</v>
      </c>
      <c r="X40" s="841">
        <f t="shared" si="32"/>
        <v>9.3591151895999989</v>
      </c>
      <c r="Y40" s="841">
        <f t="shared" si="32"/>
        <v>9.3591151895999989</v>
      </c>
      <c r="Z40" s="841">
        <f t="shared" si="32"/>
        <v>9.3591151895999989</v>
      </c>
      <c r="AA40" s="841">
        <f t="shared" si="32"/>
        <v>9.3591151895999989</v>
      </c>
      <c r="AB40" s="841">
        <f t="shared" si="32"/>
        <v>9.3591151895999989</v>
      </c>
      <c r="AC40" s="841">
        <f t="shared" si="32"/>
        <v>9.3591151895999989</v>
      </c>
      <c r="AD40" s="841">
        <f t="shared" si="32"/>
        <v>9.3591151895999989</v>
      </c>
      <c r="AE40" s="841">
        <f t="shared" si="32"/>
        <v>9.3591151895999989</v>
      </c>
      <c r="AF40" s="859"/>
      <c r="AG40" s="842">
        <f>IFERROR(SUM(Q40:AE40)/I40,0)</f>
        <v>0.74942000000000009</v>
      </c>
      <c r="AH40" s="859">
        <f>I40-SUM(Q40:AE40)</f>
        <v>44.416800837309978</v>
      </c>
    </row>
    <row r="41" spans="1:34">
      <c r="A41" s="850" t="s">
        <v>229</v>
      </c>
      <c r="B41" s="851" t="s">
        <v>596</v>
      </c>
      <c r="C41" s="836">
        <f>(3693764766-31946552)/(10^7)</f>
        <v>366.18182139999999</v>
      </c>
      <c r="D41" s="836">
        <f>0/(10^7)</f>
        <v>0</v>
      </c>
      <c r="E41" s="837">
        <f t="shared" ref="E41:E47" si="33">C41+D41</f>
        <v>366.18182139999999</v>
      </c>
      <c r="F41" s="836">
        <f>(3500000+41050000)/(10^7)</f>
        <v>4.4550000000000001</v>
      </c>
      <c r="G41" s="836">
        <f>-28100000/(10^7)</f>
        <v>-2.81</v>
      </c>
      <c r="H41" s="837">
        <f t="shared" ref="H41:H49" si="34">E41+F41+G41</f>
        <v>367.82682139999997</v>
      </c>
      <c r="I41" s="837">
        <f>H41+D42+D43</f>
        <v>361.39116739999997</v>
      </c>
      <c r="J41" s="837"/>
      <c r="K41" s="861">
        <v>2.5700000000000001E-2</v>
      </c>
      <c r="L41" s="45"/>
      <c r="M41" s="45"/>
      <c r="N41" s="45"/>
      <c r="O41" s="45"/>
      <c r="P41" s="45"/>
      <c r="Q41" s="45"/>
      <c r="R41" s="840">
        <f>$H41*VLOOKUP(R$33,$B$32:$K$54,10,FALSE)/365*121</f>
        <v>3.1337837438563834</v>
      </c>
      <c r="S41" s="841">
        <f>$H41*VLOOKUP(S$33,$B$32:$K$54,10,FALSE)+(-4600000-1709029)/10^7</f>
        <v>18.790353269920001</v>
      </c>
      <c r="T41" s="841">
        <f>$I41*VLOOKUP(T$33,$B$32:$K$54,10,FALSE)</f>
        <v>19.081453638719999</v>
      </c>
      <c r="U41" s="841">
        <f>$I41*VLOOKUP(U$33,$B$32:$K$54,10,FALSE)</f>
        <v>19.081453638719999</v>
      </c>
      <c r="V41" s="841">
        <f t="shared" ref="V41:AE42" si="35">$I41*VLOOKUP(V$33,$B$32:$K$54,10,FALSE)</f>
        <v>19.081453638719999</v>
      </c>
      <c r="W41" s="841">
        <f t="shared" si="35"/>
        <v>19.009175405240001</v>
      </c>
      <c r="X41" s="841">
        <f t="shared" si="35"/>
        <v>19.081453638719999</v>
      </c>
      <c r="Y41" s="841">
        <f t="shared" si="35"/>
        <v>19.081453638719999</v>
      </c>
      <c r="Z41" s="841">
        <f t="shared" si="35"/>
        <v>19.081453638719999</v>
      </c>
      <c r="AA41" s="841">
        <f t="shared" si="35"/>
        <v>19.081453638719999</v>
      </c>
      <c r="AB41" s="841">
        <f t="shared" si="35"/>
        <v>19.081453638719999</v>
      </c>
      <c r="AC41" s="841">
        <f t="shared" si="35"/>
        <v>19.081453638719999</v>
      </c>
      <c r="AD41" s="841">
        <f t="shared" si="35"/>
        <v>19.081453638719999</v>
      </c>
      <c r="AE41" s="841">
        <f t="shared" si="35"/>
        <v>19.081453638719999</v>
      </c>
      <c r="AF41" s="859"/>
      <c r="AG41" s="842">
        <f t="shared" ref="AG41:AG54" si="36">IFERROR(SUM(Q41:AE41)/I41,0)</f>
        <v>0.69406594590982373</v>
      </c>
      <c r="AH41" s="859">
        <f t="shared" ref="AH41:AH54" si="37">I41-SUM(Q41:AE41)</f>
        <v>110.56186495506356</v>
      </c>
    </row>
    <row r="42" spans="1:34">
      <c r="A42" s="850" t="s">
        <v>229</v>
      </c>
      <c r="B42" s="851" t="s">
        <v>597</v>
      </c>
      <c r="C42" s="836">
        <f>(129976256)/(10^7)</f>
        <v>12.997625599999999</v>
      </c>
      <c r="D42" s="836">
        <f>-49201030/(10^7)</f>
        <v>-4.9201030000000001</v>
      </c>
      <c r="E42" s="837">
        <f t="shared" si="33"/>
        <v>8.0775225999999982</v>
      </c>
      <c r="F42" s="836">
        <f>-41050000/(10^7)</f>
        <v>-4.1050000000000004</v>
      </c>
      <c r="G42" s="836">
        <f>0/(10^7)</f>
        <v>0</v>
      </c>
      <c r="H42" s="837">
        <f t="shared" si="34"/>
        <v>3.9725225999999978</v>
      </c>
      <c r="I42" s="837">
        <f>H42-D42</f>
        <v>8.8926255999999988</v>
      </c>
      <c r="J42" s="837"/>
      <c r="K42" s="861">
        <v>5.28E-2</v>
      </c>
      <c r="L42" s="45"/>
      <c r="M42" s="45"/>
      <c r="N42" s="45"/>
      <c r="O42" s="45"/>
      <c r="P42" s="45"/>
      <c r="Q42" s="45"/>
      <c r="R42" s="863"/>
      <c r="S42" s="840">
        <f>$H42*VLOOKUP(S$33,$B$32:$K$54,10,FALSE)/2</f>
        <v>0.10487459663999994</v>
      </c>
      <c r="T42" s="841">
        <f>$I42*VLOOKUP(T$33,$B$32:$K$54,10,FALSE)</f>
        <v>0.46953063167999992</v>
      </c>
      <c r="U42" s="841">
        <f t="shared" ref="U42:AE53" si="38">$I42*VLOOKUP(U$33,$B$32:$K$54,10,FALSE)</f>
        <v>0.46953063167999992</v>
      </c>
      <c r="V42" s="841">
        <f t="shared" si="35"/>
        <v>0.46953063167999992</v>
      </c>
      <c r="W42" s="841">
        <f t="shared" si="35"/>
        <v>0.46775210655999994</v>
      </c>
      <c r="X42" s="841">
        <f t="shared" si="35"/>
        <v>0.46953063167999992</v>
      </c>
      <c r="Y42" s="841">
        <f t="shared" si="35"/>
        <v>0.46953063167999992</v>
      </c>
      <c r="Z42" s="841">
        <f t="shared" si="35"/>
        <v>0.46953063167999992</v>
      </c>
      <c r="AA42" s="841">
        <f t="shared" si="35"/>
        <v>0.46953063167999992</v>
      </c>
      <c r="AB42" s="841">
        <f t="shared" si="35"/>
        <v>0.46953063167999992</v>
      </c>
      <c r="AC42" s="841">
        <f t="shared" si="35"/>
        <v>0.46953063167999992</v>
      </c>
      <c r="AD42" s="841">
        <f t="shared" si="35"/>
        <v>0.46953063167999992</v>
      </c>
      <c r="AE42" s="841">
        <f t="shared" si="35"/>
        <v>0.46953063167999992</v>
      </c>
      <c r="AF42" s="859"/>
      <c r="AG42" s="842">
        <f t="shared" si="36"/>
        <v>0.64519343439804766</v>
      </c>
      <c r="AH42" s="859">
        <f t="shared" si="37"/>
        <v>3.15516194832</v>
      </c>
    </row>
    <row r="43" spans="1:34">
      <c r="A43" s="850" t="s">
        <v>229</v>
      </c>
      <c r="B43" s="851" t="s">
        <v>598</v>
      </c>
      <c r="C43" s="836">
        <f>(29728420)/(10^7)</f>
        <v>2.972842</v>
      </c>
      <c r="D43" s="836">
        <f>-15155510/(10^7)</f>
        <v>-1.5155510000000001</v>
      </c>
      <c r="E43" s="837">
        <f t="shared" si="33"/>
        <v>1.4572909999999999</v>
      </c>
      <c r="F43" s="837"/>
      <c r="G43" s="837"/>
      <c r="H43" s="837">
        <f t="shared" si="34"/>
        <v>1.4572909999999999</v>
      </c>
      <c r="I43" s="837">
        <f>H43-D43</f>
        <v>2.972842</v>
      </c>
      <c r="J43" s="837"/>
      <c r="K43" s="861">
        <v>5.28E-2</v>
      </c>
      <c r="L43" s="45"/>
      <c r="M43" s="45"/>
      <c r="N43" s="45"/>
      <c r="O43" s="45"/>
      <c r="P43" s="45"/>
      <c r="Q43" s="45"/>
      <c r="R43" s="863"/>
      <c r="S43" s="863"/>
      <c r="T43" s="840">
        <f>$I43*VLOOKUP(T$33,$B$32:$K$54,10,FALSE)+(-360000-67000)/10^7</f>
        <v>0.11426605759999998</v>
      </c>
      <c r="U43" s="841">
        <f t="shared" si="38"/>
        <v>0.15696605759999999</v>
      </c>
      <c r="V43" s="841">
        <f t="shared" si="38"/>
        <v>0.15696605759999999</v>
      </c>
      <c r="W43" s="841">
        <f t="shared" si="38"/>
        <v>0.15637148919999999</v>
      </c>
      <c r="X43" s="841">
        <f t="shared" si="38"/>
        <v>0.15696605759999999</v>
      </c>
      <c r="Y43" s="841">
        <f t="shared" si="38"/>
        <v>0.15696605759999999</v>
      </c>
      <c r="Z43" s="841">
        <f t="shared" si="38"/>
        <v>0.15696605759999999</v>
      </c>
      <c r="AA43" s="841">
        <f t="shared" si="38"/>
        <v>0.15696605759999999</v>
      </c>
      <c r="AB43" s="841">
        <f t="shared" si="38"/>
        <v>0.15696605759999999</v>
      </c>
      <c r="AC43" s="841">
        <f t="shared" si="38"/>
        <v>0.15696605759999999</v>
      </c>
      <c r="AD43" s="841">
        <f t="shared" si="38"/>
        <v>0.15696605759999999</v>
      </c>
      <c r="AE43" s="841">
        <f t="shared" si="38"/>
        <v>0.15696605759999999</v>
      </c>
      <c r="AF43" s="859"/>
      <c r="AG43" s="842">
        <f t="shared" si="36"/>
        <v>0.6190366399559748</v>
      </c>
      <c r="AH43" s="859">
        <f t="shared" si="37"/>
        <v>1.1325438771999998</v>
      </c>
    </row>
    <row r="44" spans="1:34">
      <c r="A44" s="850" t="s">
        <v>229</v>
      </c>
      <c r="B44" s="851" t="s">
        <v>599</v>
      </c>
      <c r="C44" s="836">
        <f>0/(10^7)</f>
        <v>0</v>
      </c>
      <c r="D44" s="836">
        <f>0/(10^7)</f>
        <v>0</v>
      </c>
      <c r="E44" s="837">
        <f t="shared" si="33"/>
        <v>0</v>
      </c>
      <c r="F44" s="837"/>
      <c r="G44" s="837"/>
      <c r="H44" s="837">
        <f t="shared" si="34"/>
        <v>0</v>
      </c>
      <c r="I44" s="837"/>
      <c r="J44" s="837"/>
      <c r="K44" s="861">
        <v>5.28E-2</v>
      </c>
      <c r="L44" s="45"/>
      <c r="M44" s="45"/>
      <c r="N44" s="45"/>
      <c r="O44" s="45"/>
      <c r="P44" s="45"/>
      <c r="Q44" s="45"/>
      <c r="R44" s="863"/>
      <c r="S44" s="863"/>
      <c r="T44" s="863"/>
      <c r="U44" s="840">
        <f>$H44*VLOOKUP(U$33,$B$32:$K$54,10,FALSE)/2</f>
        <v>0</v>
      </c>
      <c r="V44" s="841">
        <f t="shared" si="38"/>
        <v>0</v>
      </c>
      <c r="W44" s="841">
        <f t="shared" si="38"/>
        <v>0</v>
      </c>
      <c r="X44" s="841">
        <f t="shared" si="38"/>
        <v>0</v>
      </c>
      <c r="Y44" s="841">
        <f t="shared" si="38"/>
        <v>0</v>
      </c>
      <c r="Z44" s="841">
        <f t="shared" si="38"/>
        <v>0</v>
      </c>
      <c r="AA44" s="841">
        <f t="shared" si="38"/>
        <v>0</v>
      </c>
      <c r="AB44" s="841">
        <f t="shared" si="38"/>
        <v>0</v>
      </c>
      <c r="AC44" s="841">
        <f t="shared" si="38"/>
        <v>0</v>
      </c>
      <c r="AD44" s="841">
        <f t="shared" si="38"/>
        <v>0</v>
      </c>
      <c r="AE44" s="841">
        <f t="shared" si="38"/>
        <v>0</v>
      </c>
      <c r="AF44" s="859"/>
      <c r="AG44" s="842">
        <f t="shared" si="36"/>
        <v>0</v>
      </c>
      <c r="AH44" s="859">
        <f t="shared" si="37"/>
        <v>0</v>
      </c>
    </row>
    <row r="45" spans="1:34">
      <c r="A45" s="850" t="s">
        <v>229</v>
      </c>
      <c r="B45" s="851" t="s">
        <v>600</v>
      </c>
      <c r="C45" s="836">
        <f>0/(10^7)</f>
        <v>0</v>
      </c>
      <c r="D45" s="836">
        <f>0/(10^7)</f>
        <v>0</v>
      </c>
      <c r="E45" s="837">
        <f t="shared" si="33"/>
        <v>0</v>
      </c>
      <c r="F45" s="837"/>
      <c r="G45" s="837"/>
      <c r="H45" s="837">
        <f t="shared" si="34"/>
        <v>0</v>
      </c>
      <c r="I45" s="837"/>
      <c r="J45" s="837"/>
      <c r="K45" s="861">
        <v>5.28E-2</v>
      </c>
      <c r="L45" s="45"/>
      <c r="M45" s="45"/>
      <c r="N45" s="45"/>
      <c r="O45" s="45"/>
      <c r="P45" s="45"/>
      <c r="Q45" s="45"/>
      <c r="R45" s="863"/>
      <c r="S45" s="863"/>
      <c r="T45" s="863"/>
      <c r="U45" s="863"/>
      <c r="V45" s="840">
        <f>$H45*VLOOKUP(V$33,$B$32:$K$54,10,FALSE)/2</f>
        <v>0</v>
      </c>
      <c r="W45" s="841">
        <f t="shared" si="38"/>
        <v>0</v>
      </c>
      <c r="X45" s="841">
        <f t="shared" si="38"/>
        <v>0</v>
      </c>
      <c r="Y45" s="841">
        <f t="shared" si="38"/>
        <v>0</v>
      </c>
      <c r="Z45" s="841">
        <f t="shared" si="38"/>
        <v>0</v>
      </c>
      <c r="AA45" s="841">
        <f t="shared" si="38"/>
        <v>0</v>
      </c>
      <c r="AB45" s="841">
        <f t="shared" si="38"/>
        <v>0</v>
      </c>
      <c r="AC45" s="841">
        <f t="shared" si="38"/>
        <v>0</v>
      </c>
      <c r="AD45" s="841">
        <f t="shared" si="38"/>
        <v>0</v>
      </c>
      <c r="AE45" s="841">
        <f t="shared" si="38"/>
        <v>0</v>
      </c>
      <c r="AF45" s="859"/>
      <c r="AG45" s="842">
        <f t="shared" si="36"/>
        <v>0</v>
      </c>
      <c r="AH45" s="859">
        <f t="shared" si="37"/>
        <v>0</v>
      </c>
    </row>
    <row r="46" spans="1:34">
      <c r="A46" s="850" t="s">
        <v>229</v>
      </c>
      <c r="B46" s="851" t="s">
        <v>601</v>
      </c>
      <c r="C46" s="836">
        <f>0/(10^7)</f>
        <v>0</v>
      </c>
      <c r="D46" s="836">
        <f>-50681393/(10^7)</f>
        <v>-5.0681393000000003</v>
      </c>
      <c r="E46" s="837">
        <f t="shared" si="33"/>
        <v>-5.0681393000000003</v>
      </c>
      <c r="F46" s="837"/>
      <c r="G46" s="837">
        <f>-D46</f>
        <v>5.0681393000000003</v>
      </c>
      <c r="H46" s="837">
        <f t="shared" si="34"/>
        <v>0</v>
      </c>
      <c r="I46" s="837">
        <f>-C46</f>
        <v>0</v>
      </c>
      <c r="J46" s="837"/>
      <c r="K46" s="861">
        <v>5.2600000000000001E-2</v>
      </c>
      <c r="L46" s="45"/>
      <c r="M46" s="45"/>
      <c r="N46" s="45"/>
      <c r="O46" s="45"/>
      <c r="P46" s="45"/>
      <c r="Q46" s="45"/>
      <c r="R46" s="863"/>
      <c r="S46" s="863"/>
      <c r="T46" s="863"/>
      <c r="U46" s="863"/>
      <c r="V46" s="863"/>
      <c r="W46" s="840">
        <f>$H46*VLOOKUP(W$33,$B$32:$K$54,10,FALSE)/2</f>
        <v>0</v>
      </c>
      <c r="X46" s="841">
        <f t="shared" si="38"/>
        <v>0</v>
      </c>
      <c r="Y46" s="841">
        <f t="shared" si="38"/>
        <v>0</v>
      </c>
      <c r="Z46" s="841">
        <f t="shared" si="38"/>
        <v>0</v>
      </c>
      <c r="AA46" s="841">
        <f t="shared" si="38"/>
        <v>0</v>
      </c>
      <c r="AB46" s="841">
        <f t="shared" si="38"/>
        <v>0</v>
      </c>
      <c r="AC46" s="841">
        <f t="shared" si="38"/>
        <v>0</v>
      </c>
      <c r="AD46" s="841">
        <f t="shared" si="38"/>
        <v>0</v>
      </c>
      <c r="AE46" s="841">
        <f t="shared" si="38"/>
        <v>0</v>
      </c>
      <c r="AF46" s="859"/>
      <c r="AG46" s="842">
        <f t="shared" si="36"/>
        <v>0</v>
      </c>
      <c r="AH46" s="859">
        <f t="shared" si="37"/>
        <v>0</v>
      </c>
    </row>
    <row r="47" spans="1:34">
      <c r="A47" s="850" t="s">
        <v>229</v>
      </c>
      <c r="B47" s="851" t="s">
        <v>602</v>
      </c>
      <c r="C47" s="836">
        <f>4453875/(10^7)</f>
        <v>0.44538749999999999</v>
      </c>
      <c r="D47" s="836">
        <f>0/(10^7)</f>
        <v>0</v>
      </c>
      <c r="E47" s="837">
        <f t="shared" si="33"/>
        <v>0.44538749999999999</v>
      </c>
      <c r="F47" s="837"/>
      <c r="G47" s="837"/>
      <c r="H47" s="837">
        <f t="shared" si="34"/>
        <v>0.44538749999999999</v>
      </c>
      <c r="I47" s="837">
        <f>H47</f>
        <v>0.44538749999999999</v>
      </c>
      <c r="J47" s="837"/>
      <c r="K47" s="861">
        <v>5.28E-2</v>
      </c>
      <c r="L47" s="45"/>
      <c r="M47" s="45"/>
      <c r="N47" s="45"/>
      <c r="O47" s="45"/>
      <c r="P47" s="45"/>
      <c r="Q47" s="45"/>
      <c r="R47" s="863"/>
      <c r="S47" s="863"/>
      <c r="T47" s="863"/>
      <c r="U47" s="863"/>
      <c r="V47" s="863"/>
      <c r="W47" s="863"/>
      <c r="X47" s="840">
        <f>$H47*VLOOKUP(X$33,$B$32:$K$54,10,FALSE)/2</f>
        <v>1.175823E-2</v>
      </c>
      <c r="Y47" s="841">
        <f t="shared" si="38"/>
        <v>2.3516459999999999E-2</v>
      </c>
      <c r="Z47" s="841">
        <f t="shared" si="38"/>
        <v>2.3516459999999999E-2</v>
      </c>
      <c r="AA47" s="841">
        <f t="shared" si="38"/>
        <v>2.3516459999999999E-2</v>
      </c>
      <c r="AB47" s="841">
        <f t="shared" si="38"/>
        <v>2.3516459999999999E-2</v>
      </c>
      <c r="AC47" s="841">
        <f t="shared" si="38"/>
        <v>2.3516459999999999E-2</v>
      </c>
      <c r="AD47" s="841">
        <f t="shared" si="38"/>
        <v>2.3516459999999999E-2</v>
      </c>
      <c r="AE47" s="841">
        <f t="shared" si="38"/>
        <v>2.3516459999999999E-2</v>
      </c>
      <c r="AF47" s="859"/>
      <c r="AG47" s="842">
        <f t="shared" si="36"/>
        <v>0.39599999999999996</v>
      </c>
      <c r="AH47" s="859">
        <f t="shared" si="37"/>
        <v>0.26901405</v>
      </c>
    </row>
    <row r="48" spans="1:34">
      <c r="A48" s="850" t="s">
        <v>229</v>
      </c>
      <c r="B48" s="851" t="s">
        <v>603</v>
      </c>
      <c r="C48" s="837"/>
      <c r="D48" s="837"/>
      <c r="E48" s="837">
        <f>'F4'!J17</f>
        <v>1.189E-3</v>
      </c>
      <c r="F48" s="837"/>
      <c r="G48" s="837"/>
      <c r="H48" s="837">
        <f t="shared" si="34"/>
        <v>1.189E-3</v>
      </c>
      <c r="I48" s="837">
        <f>H48</f>
        <v>1.189E-3</v>
      </c>
      <c r="J48" s="837"/>
      <c r="K48" s="861">
        <v>5.28E-2</v>
      </c>
      <c r="L48" s="45"/>
      <c r="M48" s="45"/>
      <c r="N48" s="45"/>
      <c r="O48" s="45"/>
      <c r="P48" s="45"/>
      <c r="Q48" s="45"/>
      <c r="R48" s="863"/>
      <c r="S48" s="863"/>
      <c r="T48" s="863"/>
      <c r="U48" s="863"/>
      <c r="V48" s="863"/>
      <c r="W48" s="863"/>
      <c r="X48" s="863"/>
      <c r="Y48" s="840">
        <f>$H48*VLOOKUP(Y$33,$B$32:$K$54,10,FALSE)/2</f>
        <v>3.1389600000000002E-5</v>
      </c>
      <c r="Z48" s="841">
        <f t="shared" si="38"/>
        <v>6.2779200000000004E-5</v>
      </c>
      <c r="AA48" s="841">
        <f t="shared" si="38"/>
        <v>6.2779200000000004E-5</v>
      </c>
      <c r="AB48" s="841">
        <f t="shared" si="38"/>
        <v>6.2779200000000004E-5</v>
      </c>
      <c r="AC48" s="841">
        <f t="shared" si="38"/>
        <v>6.2779200000000004E-5</v>
      </c>
      <c r="AD48" s="841">
        <f t="shared" si="38"/>
        <v>6.2779200000000004E-5</v>
      </c>
      <c r="AE48" s="841">
        <f t="shared" si="38"/>
        <v>6.2779200000000004E-5</v>
      </c>
      <c r="AF48" s="859"/>
      <c r="AG48" s="842">
        <f t="shared" si="36"/>
        <v>0.34320000000000006</v>
      </c>
      <c r="AH48" s="859">
        <f t="shared" si="37"/>
        <v>7.8093519999999981E-4</v>
      </c>
    </row>
    <row r="49" spans="1:34">
      <c r="A49" s="850" t="s">
        <v>229</v>
      </c>
      <c r="B49" s="851" t="s">
        <v>607</v>
      </c>
      <c r="C49" s="837"/>
      <c r="D49" s="837"/>
      <c r="E49" s="837">
        <f>'F4'!O16</f>
        <v>0</v>
      </c>
      <c r="F49" s="837"/>
      <c r="G49" s="837"/>
      <c r="H49" s="837">
        <f t="shared" si="34"/>
        <v>0</v>
      </c>
      <c r="I49" s="837"/>
      <c r="J49" s="837"/>
      <c r="K49" s="861">
        <v>5.28E-2</v>
      </c>
      <c r="L49" s="45"/>
      <c r="M49" s="45"/>
      <c r="N49" s="45"/>
      <c r="O49" s="45"/>
      <c r="P49" s="45"/>
      <c r="Q49" s="45"/>
      <c r="R49" s="863"/>
      <c r="S49" s="863"/>
      <c r="T49" s="863"/>
      <c r="U49" s="863"/>
      <c r="V49" s="863"/>
      <c r="W49" s="863"/>
      <c r="X49" s="863"/>
      <c r="Y49" s="863"/>
      <c r="Z49" s="840">
        <f>$H49*VLOOKUP(Z$33,$B$32:$K$54,10,FALSE)/2</f>
        <v>0</v>
      </c>
      <c r="AA49" s="841">
        <f t="shared" si="38"/>
        <v>0</v>
      </c>
      <c r="AB49" s="841">
        <f t="shared" si="38"/>
        <v>0</v>
      </c>
      <c r="AC49" s="841">
        <f t="shared" si="38"/>
        <v>0</v>
      </c>
      <c r="AD49" s="841">
        <f t="shared" si="38"/>
        <v>0</v>
      </c>
      <c r="AE49" s="841">
        <f t="shared" si="38"/>
        <v>0</v>
      </c>
      <c r="AF49" s="859"/>
      <c r="AG49" s="842">
        <f t="shared" si="36"/>
        <v>0</v>
      </c>
      <c r="AH49" s="859">
        <f t="shared" si="37"/>
        <v>0</v>
      </c>
    </row>
    <row r="50" spans="1:34">
      <c r="A50" s="850" t="s">
        <v>229</v>
      </c>
      <c r="B50" s="851" t="s">
        <v>608</v>
      </c>
      <c r="C50" s="837"/>
      <c r="D50" s="837"/>
      <c r="E50" s="837">
        <f>'F4'!T16</f>
        <v>0</v>
      </c>
      <c r="F50" s="837"/>
      <c r="G50" s="837"/>
      <c r="H50" s="837"/>
      <c r="I50" s="837"/>
      <c r="J50" s="837"/>
      <c r="K50" s="861">
        <v>5.28E-2</v>
      </c>
      <c r="L50" s="45"/>
      <c r="M50" s="45"/>
      <c r="N50" s="45"/>
      <c r="O50" s="45"/>
      <c r="P50" s="45"/>
      <c r="Q50" s="45"/>
      <c r="R50" s="863"/>
      <c r="S50" s="863"/>
      <c r="T50" s="863"/>
      <c r="U50" s="863"/>
      <c r="V50" s="863"/>
      <c r="W50" s="863"/>
      <c r="X50" s="863"/>
      <c r="Y50" s="863"/>
      <c r="Z50" s="863"/>
      <c r="AA50" s="840">
        <f>$H50*VLOOKUP(AA$33,$B$32:$K$54,10,FALSE)/2</f>
        <v>0</v>
      </c>
      <c r="AB50" s="841">
        <f t="shared" si="38"/>
        <v>0</v>
      </c>
      <c r="AC50" s="841">
        <f t="shared" si="38"/>
        <v>0</v>
      </c>
      <c r="AD50" s="841">
        <f t="shared" si="38"/>
        <v>0</v>
      </c>
      <c r="AE50" s="841">
        <f t="shared" si="38"/>
        <v>0</v>
      </c>
      <c r="AF50" s="859"/>
      <c r="AG50" s="842">
        <f t="shared" si="36"/>
        <v>0</v>
      </c>
      <c r="AH50" s="859">
        <f t="shared" si="37"/>
        <v>0</v>
      </c>
    </row>
    <row r="51" spans="1:34">
      <c r="A51" s="850" t="s">
        <v>229</v>
      </c>
      <c r="B51" s="851" t="s">
        <v>609</v>
      </c>
      <c r="C51" s="837"/>
      <c r="D51" s="837"/>
      <c r="E51" s="837">
        <f>'F4'!E32</f>
        <v>0</v>
      </c>
      <c r="F51" s="837"/>
      <c r="G51" s="837"/>
      <c r="H51" s="837"/>
      <c r="I51" s="837"/>
      <c r="J51" s="837"/>
      <c r="K51" s="861">
        <v>5.28E-2</v>
      </c>
      <c r="L51" s="45"/>
      <c r="M51" s="45"/>
      <c r="N51" s="45"/>
      <c r="O51" s="45"/>
      <c r="P51" s="45"/>
      <c r="Q51" s="45"/>
      <c r="R51" s="863"/>
      <c r="S51" s="863"/>
      <c r="T51" s="863"/>
      <c r="U51" s="863"/>
      <c r="V51" s="863"/>
      <c r="W51" s="863"/>
      <c r="X51" s="863"/>
      <c r="Y51" s="863"/>
      <c r="Z51" s="863"/>
      <c r="AA51" s="863"/>
      <c r="AB51" s="840">
        <f>$H51*VLOOKUP(AB$33,$B$32:$K$54,10,FALSE)/2</f>
        <v>0</v>
      </c>
      <c r="AC51" s="841">
        <f t="shared" si="38"/>
        <v>0</v>
      </c>
      <c r="AD51" s="841">
        <f t="shared" si="38"/>
        <v>0</v>
      </c>
      <c r="AE51" s="841">
        <f t="shared" si="38"/>
        <v>0</v>
      </c>
      <c r="AF51" s="859"/>
      <c r="AG51" s="842">
        <f t="shared" si="36"/>
        <v>0</v>
      </c>
      <c r="AH51" s="859">
        <f t="shared" si="37"/>
        <v>0</v>
      </c>
    </row>
    <row r="52" spans="1:34">
      <c r="A52" s="850" t="s">
        <v>229</v>
      </c>
      <c r="B52" s="851" t="s">
        <v>610</v>
      </c>
      <c r="C52" s="837"/>
      <c r="D52" s="837"/>
      <c r="E52" s="837">
        <f>'F4'!J32</f>
        <v>0</v>
      </c>
      <c r="F52" s="837"/>
      <c r="G52" s="837"/>
      <c r="H52" s="837"/>
      <c r="I52" s="837"/>
      <c r="J52" s="837"/>
      <c r="K52" s="861">
        <v>5.28E-2</v>
      </c>
      <c r="L52" s="45"/>
      <c r="M52" s="45"/>
      <c r="N52" s="45"/>
      <c r="O52" s="45"/>
      <c r="P52" s="45"/>
      <c r="Q52" s="45"/>
      <c r="R52" s="863"/>
      <c r="S52" s="863"/>
      <c r="T52" s="863"/>
      <c r="U52" s="863"/>
      <c r="V52" s="863"/>
      <c r="W52" s="863"/>
      <c r="X52" s="863"/>
      <c r="Y52" s="863"/>
      <c r="Z52" s="863"/>
      <c r="AA52" s="863"/>
      <c r="AB52" s="863"/>
      <c r="AC52" s="840">
        <f>$H52*VLOOKUP(AC$33,$B$32:$K$54,10,FALSE)/2</f>
        <v>0</v>
      </c>
      <c r="AD52" s="841">
        <f t="shared" si="38"/>
        <v>0</v>
      </c>
      <c r="AE52" s="841">
        <f t="shared" si="38"/>
        <v>0</v>
      </c>
      <c r="AF52" s="859"/>
      <c r="AG52" s="842">
        <f t="shared" si="36"/>
        <v>0</v>
      </c>
      <c r="AH52" s="859">
        <f t="shared" si="37"/>
        <v>0</v>
      </c>
    </row>
    <row r="53" spans="1:34">
      <c r="A53" s="850" t="s">
        <v>229</v>
      </c>
      <c r="B53" s="851" t="s">
        <v>611</v>
      </c>
      <c r="C53" s="837"/>
      <c r="D53" s="837"/>
      <c r="E53" s="837">
        <f>'F4'!O32</f>
        <v>0</v>
      </c>
      <c r="F53" s="837"/>
      <c r="G53" s="837"/>
      <c r="H53" s="837"/>
      <c r="I53" s="837"/>
      <c r="J53" s="837"/>
      <c r="K53" s="861">
        <v>5.28E-2</v>
      </c>
      <c r="L53" s="45"/>
      <c r="M53" s="45"/>
      <c r="N53" s="45"/>
      <c r="O53" s="45"/>
      <c r="P53" s="45"/>
      <c r="Q53" s="45"/>
      <c r="R53" s="863"/>
      <c r="S53" s="863"/>
      <c r="T53" s="863"/>
      <c r="U53" s="863"/>
      <c r="V53" s="863"/>
      <c r="W53" s="863"/>
      <c r="X53" s="863"/>
      <c r="Y53" s="863"/>
      <c r="Z53" s="863"/>
      <c r="AA53" s="863"/>
      <c r="AB53" s="863"/>
      <c r="AC53" s="863"/>
      <c r="AD53" s="840">
        <f>$H53*VLOOKUP(AD$33,$B$32:$K$54,10,FALSE)/2</f>
        <v>0</v>
      </c>
      <c r="AE53" s="841">
        <f t="shared" si="38"/>
        <v>0</v>
      </c>
      <c r="AF53" s="859"/>
      <c r="AG53" s="842">
        <f t="shared" si="36"/>
        <v>0</v>
      </c>
      <c r="AH53" s="859">
        <f t="shared" si="37"/>
        <v>0</v>
      </c>
    </row>
    <row r="54" spans="1:34">
      <c r="A54" s="850" t="s">
        <v>229</v>
      </c>
      <c r="B54" s="851" t="s">
        <v>612</v>
      </c>
      <c r="C54" s="837"/>
      <c r="D54" s="837"/>
      <c r="E54" s="837">
        <f>'F4'!T32</f>
        <v>0</v>
      </c>
      <c r="F54" s="837"/>
      <c r="G54" s="837"/>
      <c r="H54" s="837"/>
      <c r="I54" s="837"/>
      <c r="J54" s="837"/>
      <c r="K54" s="861">
        <v>5.28E-2</v>
      </c>
      <c r="L54" s="45"/>
      <c r="M54" s="45"/>
      <c r="N54" s="45"/>
      <c r="O54" s="45"/>
      <c r="P54" s="45"/>
      <c r="Q54" s="45"/>
      <c r="R54" s="863"/>
      <c r="S54" s="863"/>
      <c r="T54" s="863"/>
      <c r="U54" s="863"/>
      <c r="V54" s="863"/>
      <c r="W54" s="863"/>
      <c r="X54" s="863"/>
      <c r="Y54" s="863"/>
      <c r="Z54" s="863"/>
      <c r="AA54" s="863"/>
      <c r="AB54" s="863"/>
      <c r="AC54" s="863"/>
      <c r="AD54" s="863"/>
      <c r="AE54" s="840">
        <f>$H54*VLOOKUP(AE$33,$B$32:$K$54,10,FALSE)/2</f>
        <v>0</v>
      </c>
      <c r="AF54" s="859"/>
      <c r="AG54" s="842">
        <f t="shared" si="36"/>
        <v>0</v>
      </c>
      <c r="AH54" s="859">
        <f t="shared" si="37"/>
        <v>0</v>
      </c>
    </row>
    <row r="55" spans="1:34">
      <c r="A55" s="853" t="s">
        <v>613</v>
      </c>
      <c r="B55" s="854" t="s">
        <v>23</v>
      </c>
      <c r="C55" s="839">
        <f>SUM(C40:C54)</f>
        <v>562.46178529999997</v>
      </c>
      <c r="D55" s="839">
        <f>SUM(D40:D54)</f>
        <v>-11.503793300000002</v>
      </c>
      <c r="E55" s="839">
        <f>SUM(E40:E54)</f>
        <v>550.95918099999994</v>
      </c>
      <c r="F55" s="839">
        <f t="shared" ref="F55:AH55" si="39">SUM(F40:F54)</f>
        <v>0</v>
      </c>
      <c r="G55" s="839">
        <f t="shared" si="39"/>
        <v>0</v>
      </c>
      <c r="H55" s="839">
        <f t="shared" si="39"/>
        <v>550.95918100000006</v>
      </c>
      <c r="I55" s="839">
        <f t="shared" si="39"/>
        <v>550.95918099999994</v>
      </c>
      <c r="J55" s="855">
        <f t="shared" si="39"/>
        <v>0</v>
      </c>
      <c r="K55" s="855"/>
      <c r="L55" s="855">
        <f t="shared" si="39"/>
        <v>0</v>
      </c>
      <c r="M55" s="855">
        <f t="shared" si="39"/>
        <v>0</v>
      </c>
      <c r="N55" s="855">
        <f t="shared" si="39"/>
        <v>0</v>
      </c>
      <c r="O55" s="855">
        <f t="shared" si="39"/>
        <v>0</v>
      </c>
      <c r="P55" s="855">
        <f t="shared" si="39"/>
        <v>0</v>
      </c>
      <c r="Q55" s="839">
        <f>SUM(Q34:Q54)</f>
        <v>6.6506439756399987</v>
      </c>
      <c r="R55" s="839">
        <f t="shared" ref="R55:AE55" si="40">SUM(R34:R54)</f>
        <v>7.6892621600063826</v>
      </c>
      <c r="S55" s="839">
        <f t="shared" si="40"/>
        <v>28.25434305616</v>
      </c>
      <c r="T55" s="839">
        <f t="shared" si="40"/>
        <v>29.024365517599996</v>
      </c>
      <c r="U55" s="839">
        <f t="shared" si="40"/>
        <v>29.067065517599996</v>
      </c>
      <c r="V55" s="839">
        <f t="shared" si="40"/>
        <v>29.067065517599996</v>
      </c>
      <c r="W55" s="839">
        <f t="shared" si="40"/>
        <v>28.956962996700003</v>
      </c>
      <c r="X55" s="839">
        <f t="shared" si="40"/>
        <v>29.078823747599998</v>
      </c>
      <c r="Y55" s="839">
        <f t="shared" si="40"/>
        <v>29.090613367199996</v>
      </c>
      <c r="Z55" s="839">
        <f t="shared" si="40"/>
        <v>29.090644756799996</v>
      </c>
      <c r="AA55" s="839">
        <f t="shared" si="40"/>
        <v>29.090644756799996</v>
      </c>
      <c r="AB55" s="839">
        <f t="shared" si="40"/>
        <v>29.090644756799996</v>
      </c>
      <c r="AC55" s="839">
        <f t="shared" si="40"/>
        <v>29.090644756799996</v>
      </c>
      <c r="AD55" s="839">
        <f t="shared" si="40"/>
        <v>29.090644756799996</v>
      </c>
      <c r="AE55" s="839">
        <f t="shared" si="40"/>
        <v>29.090644756799996</v>
      </c>
      <c r="AF55" s="839">
        <f t="shared" si="39"/>
        <v>0</v>
      </c>
      <c r="AG55" s="839"/>
      <c r="AH55" s="839">
        <f t="shared" si="39"/>
        <v>159.53616660309353</v>
      </c>
    </row>
    <row r="56" spans="1:34">
      <c r="E56" s="838">
        <f>'F4'!W32-E55</f>
        <v>-1.1889999998402345E-3</v>
      </c>
      <c r="AE56" s="838"/>
    </row>
    <row r="57" spans="1:34">
      <c r="B57" s="844" t="str">
        <f>'F4'!C17</f>
        <v>Office Equipment</v>
      </c>
      <c r="L57" s="846" t="s">
        <v>33</v>
      </c>
    </row>
    <row r="58" spans="1:34" ht="30">
      <c r="A58" s="847"/>
      <c r="B58" s="857" t="s">
        <v>431</v>
      </c>
      <c r="C58" s="1221" t="s">
        <v>229</v>
      </c>
      <c r="D58" s="1221" t="s">
        <v>934</v>
      </c>
      <c r="E58" s="1221" t="s">
        <v>935</v>
      </c>
      <c r="F58" s="1221" t="s">
        <v>936</v>
      </c>
      <c r="G58" s="1221" t="s">
        <v>937</v>
      </c>
      <c r="H58" s="1221" t="s">
        <v>938</v>
      </c>
      <c r="I58" s="1221" t="s">
        <v>939</v>
      </c>
      <c r="J58" s="1223" t="s">
        <v>589</v>
      </c>
      <c r="K58" s="1223" t="s">
        <v>641</v>
      </c>
      <c r="L58" s="1226" t="s">
        <v>642</v>
      </c>
      <c r="M58" s="1226"/>
      <c r="N58" s="1226"/>
      <c r="O58" s="1226"/>
      <c r="P58" s="1226"/>
      <c r="Q58" s="1226"/>
      <c r="R58" s="1226"/>
      <c r="S58" s="1226"/>
      <c r="T58" s="1226"/>
      <c r="U58" s="1226"/>
      <c r="V58" s="1226"/>
      <c r="W58" s="1226"/>
      <c r="X58" s="1226"/>
      <c r="Y58" s="1226"/>
      <c r="Z58" s="1226"/>
      <c r="AA58" s="1226"/>
      <c r="AB58" s="1226"/>
      <c r="AC58" s="1226"/>
      <c r="AD58" s="1226"/>
      <c r="AE58" s="1226"/>
      <c r="AF58" s="848" t="s">
        <v>925</v>
      </c>
      <c r="AG58" s="848" t="s">
        <v>604</v>
      </c>
      <c r="AH58" s="848" t="s">
        <v>605</v>
      </c>
    </row>
    <row r="59" spans="1:34">
      <c r="A59" s="847"/>
      <c r="B59" s="857"/>
      <c r="C59" s="1222"/>
      <c r="D59" s="1222"/>
      <c r="E59" s="1222"/>
      <c r="F59" s="1222"/>
      <c r="G59" s="1222"/>
      <c r="H59" s="1222"/>
      <c r="I59" s="1227"/>
      <c r="J59" s="1224"/>
      <c r="K59" s="1224"/>
      <c r="L59" s="849" t="s">
        <v>590</v>
      </c>
      <c r="M59" s="849" t="s">
        <v>591</v>
      </c>
      <c r="N59" s="849" t="s">
        <v>592</v>
      </c>
      <c r="O59" s="849" t="s">
        <v>593</v>
      </c>
      <c r="P59" s="849" t="s">
        <v>594</v>
      </c>
      <c r="Q59" s="849" t="s">
        <v>595</v>
      </c>
      <c r="R59" s="849" t="s">
        <v>596</v>
      </c>
      <c r="S59" s="849" t="s">
        <v>597</v>
      </c>
      <c r="T59" s="849" t="s">
        <v>598</v>
      </c>
      <c r="U59" s="849" t="s">
        <v>599</v>
      </c>
      <c r="V59" s="849" t="s">
        <v>600</v>
      </c>
      <c r="W59" s="849" t="s">
        <v>601</v>
      </c>
      <c r="X59" s="849" t="s">
        <v>602</v>
      </c>
      <c r="Y59" s="849" t="s">
        <v>603</v>
      </c>
      <c r="Z59" s="849" t="s">
        <v>607</v>
      </c>
      <c r="AA59" s="849" t="s">
        <v>608</v>
      </c>
      <c r="AB59" s="849" t="s">
        <v>609</v>
      </c>
      <c r="AC59" s="849" t="s">
        <v>610</v>
      </c>
      <c r="AD59" s="849" t="s">
        <v>611</v>
      </c>
      <c r="AE59" s="849" t="s">
        <v>612</v>
      </c>
      <c r="AF59" s="848"/>
      <c r="AG59" s="848"/>
      <c r="AH59" s="848"/>
    </row>
    <row r="60" spans="1:34" ht="12.75" customHeight="1">
      <c r="A60" s="850" t="s">
        <v>606</v>
      </c>
      <c r="B60" s="851">
        <v>2005</v>
      </c>
      <c r="C60" s="852"/>
      <c r="D60" s="852"/>
      <c r="E60" s="852"/>
      <c r="F60" s="852"/>
      <c r="G60" s="852"/>
      <c r="H60" s="852"/>
      <c r="I60" s="852"/>
      <c r="J60" s="860"/>
      <c r="K60" s="861"/>
      <c r="L60" s="43"/>
      <c r="M60" s="43"/>
      <c r="N60" s="43"/>
      <c r="O60" s="43"/>
      <c r="P60" s="43"/>
      <c r="Q60" s="43"/>
      <c r="R60" s="43"/>
      <c r="S60" s="43"/>
      <c r="T60" s="43"/>
      <c r="U60" s="43"/>
      <c r="V60" s="43"/>
      <c r="W60" s="43"/>
      <c r="X60" s="43"/>
      <c r="Y60" s="43"/>
      <c r="Z60" s="43"/>
      <c r="AA60" s="43"/>
      <c r="AB60" s="43"/>
      <c r="AC60" s="43"/>
      <c r="AD60" s="43"/>
      <c r="AE60" s="43"/>
      <c r="AF60" s="859"/>
      <c r="AG60" s="859"/>
      <c r="AH60" s="859"/>
    </row>
    <row r="61" spans="1:34">
      <c r="A61" s="850" t="s">
        <v>229</v>
      </c>
      <c r="B61" s="851" t="s">
        <v>590</v>
      </c>
      <c r="C61" s="852"/>
      <c r="D61" s="852"/>
      <c r="E61" s="852"/>
      <c r="F61" s="852"/>
      <c r="G61" s="852"/>
      <c r="H61" s="852"/>
      <c r="I61" s="852"/>
      <c r="J61" s="860"/>
      <c r="K61" s="861"/>
      <c r="L61" s="44"/>
      <c r="M61" s="43"/>
      <c r="N61" s="43"/>
      <c r="O61" s="43"/>
      <c r="P61" s="43"/>
      <c r="Q61" s="43"/>
      <c r="R61" s="43"/>
      <c r="S61" s="43"/>
      <c r="T61" s="43"/>
      <c r="U61" s="43"/>
      <c r="V61" s="43"/>
      <c r="W61" s="43"/>
      <c r="X61" s="43"/>
      <c r="Y61" s="43"/>
      <c r="Z61" s="43"/>
      <c r="AA61" s="43"/>
      <c r="AB61" s="43"/>
      <c r="AC61" s="43"/>
      <c r="AD61" s="43"/>
      <c r="AE61" s="43"/>
      <c r="AF61" s="859"/>
      <c r="AG61" s="859"/>
      <c r="AH61" s="859"/>
    </row>
    <row r="62" spans="1:34">
      <c r="A62" s="850" t="s">
        <v>229</v>
      </c>
      <c r="B62" s="851" t="s">
        <v>591</v>
      </c>
      <c r="C62" s="852"/>
      <c r="D62" s="852"/>
      <c r="E62" s="852"/>
      <c r="F62" s="852"/>
      <c r="G62" s="852"/>
      <c r="H62" s="852"/>
      <c r="I62" s="852"/>
      <c r="J62" s="860"/>
      <c r="K62" s="861"/>
      <c r="L62" s="45"/>
      <c r="M62" s="44"/>
      <c r="N62" s="43"/>
      <c r="O62" s="43"/>
      <c r="P62" s="43"/>
      <c r="Q62" s="43"/>
      <c r="R62" s="43"/>
      <c r="S62" s="43"/>
      <c r="T62" s="43"/>
      <c r="U62" s="43"/>
      <c r="V62" s="43"/>
      <c r="W62" s="43"/>
      <c r="X62" s="43"/>
      <c r="Y62" s="43"/>
      <c r="Z62" s="43"/>
      <c r="AA62" s="43"/>
      <c r="AB62" s="43"/>
      <c r="AC62" s="43"/>
      <c r="AD62" s="43"/>
      <c r="AE62" s="43"/>
      <c r="AF62" s="859"/>
      <c r="AG62" s="859"/>
      <c r="AH62" s="859"/>
    </row>
    <row r="63" spans="1:34">
      <c r="A63" s="850" t="s">
        <v>229</v>
      </c>
      <c r="B63" s="851" t="s">
        <v>592</v>
      </c>
      <c r="C63" s="852"/>
      <c r="D63" s="852"/>
      <c r="E63" s="852"/>
      <c r="F63" s="852"/>
      <c r="G63" s="852"/>
      <c r="H63" s="852"/>
      <c r="I63" s="852"/>
      <c r="J63" s="860"/>
      <c r="K63" s="861"/>
      <c r="L63" s="45"/>
      <c r="M63" s="45"/>
      <c r="N63" s="44"/>
      <c r="O63" s="43"/>
      <c r="P63" s="43"/>
      <c r="Q63" s="43"/>
      <c r="R63" s="43"/>
      <c r="S63" s="43"/>
      <c r="T63" s="43"/>
      <c r="U63" s="43"/>
      <c r="V63" s="43"/>
      <c r="W63" s="43"/>
      <c r="X63" s="43"/>
      <c r="Y63" s="43"/>
      <c r="Z63" s="43"/>
      <c r="AA63" s="43"/>
      <c r="AB63" s="43"/>
      <c r="AC63" s="43"/>
      <c r="AD63" s="43"/>
      <c r="AE63" s="43"/>
      <c r="AF63" s="859"/>
      <c r="AG63" s="859"/>
      <c r="AH63" s="859"/>
    </row>
    <row r="64" spans="1:34">
      <c r="A64" s="850" t="s">
        <v>229</v>
      </c>
      <c r="B64" s="851" t="s">
        <v>593</v>
      </c>
      <c r="C64" s="852"/>
      <c r="D64" s="852"/>
      <c r="E64" s="852"/>
      <c r="F64" s="852"/>
      <c r="G64" s="852"/>
      <c r="H64" s="852"/>
      <c r="I64" s="852"/>
      <c r="J64" s="860"/>
      <c r="K64" s="861"/>
      <c r="L64" s="45"/>
      <c r="M64" s="45"/>
      <c r="N64" s="45"/>
      <c r="O64" s="44"/>
      <c r="P64" s="43"/>
      <c r="Q64" s="43"/>
      <c r="R64" s="43"/>
      <c r="S64" s="43"/>
      <c r="T64" s="43"/>
      <c r="U64" s="43"/>
      <c r="V64" s="43"/>
      <c r="W64" s="43"/>
      <c r="X64" s="43"/>
      <c r="Y64" s="43"/>
      <c r="Z64" s="43"/>
      <c r="AA64" s="43"/>
      <c r="AB64" s="43"/>
      <c r="AC64" s="43"/>
      <c r="AD64" s="43"/>
      <c r="AE64" s="43"/>
      <c r="AF64" s="859"/>
      <c r="AG64" s="859"/>
      <c r="AH64" s="859"/>
    </row>
    <row r="65" spans="1:34">
      <c r="A65" s="850" t="s">
        <v>229</v>
      </c>
      <c r="B65" s="851" t="s">
        <v>594</v>
      </c>
      <c r="C65" s="852"/>
      <c r="D65" s="852"/>
      <c r="E65" s="852"/>
      <c r="F65" s="852"/>
      <c r="G65" s="852"/>
      <c r="H65" s="852"/>
      <c r="I65" s="852"/>
      <c r="J65" s="860"/>
      <c r="K65" s="861"/>
      <c r="L65" s="45"/>
      <c r="M65" s="45"/>
      <c r="N65" s="45"/>
      <c r="O65" s="45"/>
      <c r="P65" s="44"/>
      <c r="Q65" s="43"/>
      <c r="R65" s="43"/>
      <c r="S65" s="43"/>
      <c r="T65" s="43"/>
      <c r="U65" s="43"/>
      <c r="V65" s="43"/>
      <c r="W65" s="43"/>
      <c r="X65" s="43"/>
      <c r="Y65" s="43"/>
      <c r="Z65" s="43"/>
      <c r="AA65" s="43"/>
      <c r="AB65" s="43"/>
      <c r="AC65" s="43"/>
      <c r="AD65" s="43"/>
      <c r="AE65" s="43"/>
      <c r="AF65" s="859"/>
      <c r="AG65" s="859"/>
      <c r="AH65" s="859"/>
    </row>
    <row r="66" spans="1:34">
      <c r="A66" s="850" t="s">
        <v>229</v>
      </c>
      <c r="B66" s="851" t="s">
        <v>595</v>
      </c>
      <c r="C66" s="864">
        <f>245590/(10^7)</f>
        <v>2.4559000000000001E-2</v>
      </c>
      <c r="D66" s="864"/>
      <c r="E66" s="865">
        <f>C66+D66</f>
        <v>2.4559000000000001E-2</v>
      </c>
      <c r="F66" s="864"/>
      <c r="G66" s="864"/>
      <c r="H66" s="865">
        <f>E66+F66+G66</f>
        <v>2.4559000000000001E-2</v>
      </c>
      <c r="I66" s="865">
        <f t="shared" ref="I66:I72" si="41">H66</f>
        <v>2.4559000000000001E-2</v>
      </c>
      <c r="J66" s="837"/>
      <c r="K66" s="861">
        <f>2.57%+2.54%</f>
        <v>5.1099999999999993E-2</v>
      </c>
      <c r="L66" s="45"/>
      <c r="M66" s="45"/>
      <c r="N66" s="45"/>
      <c r="O66" s="45"/>
      <c r="P66" s="45"/>
      <c r="Q66" s="868">
        <f>$H66*VLOOKUP(Q$33,$B$58:$K$80,10,FALSE)/365*268</f>
        <v>9.2145367999999991E-4</v>
      </c>
      <c r="R66" s="869">
        <f t="shared" ref="R66:AE66" si="42">$H66*VLOOKUP(R$33,$B$58:$K$80,10,FALSE)</f>
        <v>6.3116630000000006E-4</v>
      </c>
      <c r="S66" s="869">
        <f t="shared" si="42"/>
        <v>1.5545846999999999E-3</v>
      </c>
      <c r="T66" s="869">
        <f t="shared" si="42"/>
        <v>1.5545846999999999E-3</v>
      </c>
      <c r="U66" s="869">
        <f t="shared" si="42"/>
        <v>1.5545846999999999E-3</v>
      </c>
      <c r="V66" s="869">
        <f t="shared" si="42"/>
        <v>1.5545846999999999E-3</v>
      </c>
      <c r="W66" s="869">
        <f t="shared" si="42"/>
        <v>1.5545846999999999E-3</v>
      </c>
      <c r="X66" s="869">
        <f t="shared" si="42"/>
        <v>1.5545846999999999E-3</v>
      </c>
      <c r="Y66" s="869">
        <f t="shared" si="42"/>
        <v>1.5545846999999999E-3</v>
      </c>
      <c r="Z66" s="869">
        <f t="shared" si="42"/>
        <v>1.5545846999999999E-3</v>
      </c>
      <c r="AA66" s="869">
        <f t="shared" si="42"/>
        <v>1.5545846999999999E-3</v>
      </c>
      <c r="AB66" s="869">
        <f t="shared" si="42"/>
        <v>1.5545846999999999E-3</v>
      </c>
      <c r="AC66" s="869">
        <f t="shared" si="42"/>
        <v>1.5545846999999999E-3</v>
      </c>
      <c r="AD66" s="869">
        <f t="shared" si="42"/>
        <v>1.5545846999999999E-3</v>
      </c>
      <c r="AE66" s="869">
        <f t="shared" si="42"/>
        <v>1.5545846999999999E-3</v>
      </c>
      <c r="AF66" s="859"/>
      <c r="AG66" s="842">
        <f>IFERROR(SUM(Q66:AE66)/I66,0)</f>
        <v>0.88612000000000002</v>
      </c>
      <c r="AH66" s="859">
        <f>I66-SUM(Q66:AE66)</f>
        <v>2.7967789199999996E-3</v>
      </c>
    </row>
    <row r="67" spans="1:34">
      <c r="A67" s="850" t="s">
        <v>229</v>
      </c>
      <c r="B67" s="851" t="s">
        <v>596</v>
      </c>
      <c r="C67" s="864">
        <f>0/(10^7)</f>
        <v>0</v>
      </c>
      <c r="D67" s="864"/>
      <c r="E67" s="865">
        <f t="shared" ref="E67:E80" si="43">C67+D67</f>
        <v>0</v>
      </c>
      <c r="F67" s="864"/>
      <c r="G67" s="864"/>
      <c r="H67" s="865">
        <f t="shared" ref="H67:H80" si="44">E67+F67+G67</f>
        <v>0</v>
      </c>
      <c r="I67" s="865">
        <f t="shared" si="41"/>
        <v>0</v>
      </c>
      <c r="J67" s="837"/>
      <c r="K67" s="858">
        <v>2.5700000000000001E-2</v>
      </c>
      <c r="L67" s="45"/>
      <c r="M67" s="45"/>
      <c r="N67" s="45"/>
      <c r="O67" s="45"/>
      <c r="P67" s="45"/>
      <c r="Q67" s="870"/>
      <c r="R67" s="868">
        <f>$H67*VLOOKUP(R$33,$B$58:$K$80,10,FALSE)/365*121</f>
        <v>0</v>
      </c>
      <c r="S67" s="869">
        <f>$H67*VLOOKUP(S$33,$B$58:$K$80,10,FALSE)</f>
        <v>0</v>
      </c>
      <c r="T67" s="869">
        <f t="shared" ref="T67:AE69" si="45">$I67*VLOOKUP(T$33,$B$58:$K$80,10,FALSE)</f>
        <v>0</v>
      </c>
      <c r="U67" s="869">
        <f t="shared" si="45"/>
        <v>0</v>
      </c>
      <c r="V67" s="869">
        <f t="shared" si="45"/>
        <v>0</v>
      </c>
      <c r="W67" s="869">
        <f t="shared" si="45"/>
        <v>0</v>
      </c>
      <c r="X67" s="869">
        <f t="shared" si="45"/>
        <v>0</v>
      </c>
      <c r="Y67" s="869">
        <f t="shared" si="45"/>
        <v>0</v>
      </c>
      <c r="Z67" s="869">
        <f t="shared" si="45"/>
        <v>0</v>
      </c>
      <c r="AA67" s="869">
        <f t="shared" si="45"/>
        <v>0</v>
      </c>
      <c r="AB67" s="869">
        <f t="shared" si="45"/>
        <v>0</v>
      </c>
      <c r="AC67" s="869">
        <f t="shared" si="45"/>
        <v>0</v>
      </c>
      <c r="AD67" s="869">
        <f t="shared" si="45"/>
        <v>0</v>
      </c>
      <c r="AE67" s="869">
        <f t="shared" si="45"/>
        <v>0</v>
      </c>
      <c r="AF67" s="859"/>
      <c r="AG67" s="842">
        <f t="shared" ref="AG67:AG80" si="46">IFERROR(SUM(Q67:AE67)/I67,0)</f>
        <v>0</v>
      </c>
      <c r="AH67" s="859">
        <f t="shared" ref="AH67:AH80" si="47">I67-SUM(Q67:AE67)</f>
        <v>0</v>
      </c>
    </row>
    <row r="68" spans="1:34">
      <c r="A68" s="850" t="s">
        <v>229</v>
      </c>
      <c r="B68" s="851" t="s">
        <v>597</v>
      </c>
      <c r="C68" s="864">
        <f>46011/(10^7)</f>
        <v>4.6011000000000003E-3</v>
      </c>
      <c r="D68" s="864"/>
      <c r="E68" s="865">
        <f t="shared" si="43"/>
        <v>4.6011000000000003E-3</v>
      </c>
      <c r="F68" s="864"/>
      <c r="G68" s="864"/>
      <c r="H68" s="865">
        <f t="shared" si="44"/>
        <v>4.6011000000000003E-3</v>
      </c>
      <c r="I68" s="865">
        <f t="shared" si="41"/>
        <v>4.6011000000000003E-3</v>
      </c>
      <c r="J68" s="837"/>
      <c r="K68" s="858">
        <v>6.3299999999999995E-2</v>
      </c>
      <c r="L68" s="45"/>
      <c r="M68" s="45"/>
      <c r="N68" s="45"/>
      <c r="O68" s="45"/>
      <c r="P68" s="45"/>
      <c r="Q68" s="870"/>
      <c r="R68" s="871"/>
      <c r="S68" s="868">
        <f>$H68*VLOOKUP(S$33,$B$58:$K$80,10,FALSE)/2</f>
        <v>1.4562481500000001E-4</v>
      </c>
      <c r="T68" s="869">
        <f t="shared" si="45"/>
        <v>2.9124963000000002E-4</v>
      </c>
      <c r="U68" s="869">
        <f t="shared" si="45"/>
        <v>2.9124963000000002E-4</v>
      </c>
      <c r="V68" s="869">
        <f t="shared" si="45"/>
        <v>2.9124963000000002E-4</v>
      </c>
      <c r="W68" s="869">
        <f t="shared" si="45"/>
        <v>2.9124963000000002E-4</v>
      </c>
      <c r="X68" s="869">
        <f t="shared" si="45"/>
        <v>2.9124963000000002E-4</v>
      </c>
      <c r="Y68" s="869">
        <f t="shared" si="45"/>
        <v>2.9124963000000002E-4</v>
      </c>
      <c r="Z68" s="869">
        <f t="shared" si="45"/>
        <v>2.9124963000000002E-4</v>
      </c>
      <c r="AA68" s="869">
        <f t="shared" si="45"/>
        <v>2.9124963000000002E-4</v>
      </c>
      <c r="AB68" s="869">
        <f t="shared" si="45"/>
        <v>2.9124963000000002E-4</v>
      </c>
      <c r="AC68" s="869">
        <f t="shared" si="45"/>
        <v>2.9124963000000002E-4</v>
      </c>
      <c r="AD68" s="869">
        <f t="shared" si="45"/>
        <v>2.9124963000000002E-4</v>
      </c>
      <c r="AE68" s="869">
        <f t="shared" si="45"/>
        <v>2.9124963000000002E-4</v>
      </c>
      <c r="AF68" s="859"/>
      <c r="AG68" s="842">
        <f t="shared" si="46"/>
        <v>0.7912499999999999</v>
      </c>
      <c r="AH68" s="859">
        <f t="shared" si="47"/>
        <v>9.604796250000003E-4</v>
      </c>
    </row>
    <row r="69" spans="1:34">
      <c r="A69" s="850" t="s">
        <v>229</v>
      </c>
      <c r="B69" s="851" t="s">
        <v>598</v>
      </c>
      <c r="C69" s="864">
        <f>(23390+84137)/(10^7)</f>
        <v>1.07527E-2</v>
      </c>
      <c r="D69" s="864"/>
      <c r="E69" s="865">
        <f t="shared" si="43"/>
        <v>1.07527E-2</v>
      </c>
      <c r="F69" s="865"/>
      <c r="G69" s="865"/>
      <c r="H69" s="865">
        <f t="shared" si="44"/>
        <v>1.07527E-2</v>
      </c>
      <c r="I69" s="865">
        <f t="shared" si="41"/>
        <v>1.07527E-2</v>
      </c>
      <c r="J69" s="837"/>
      <c r="K69" s="858">
        <v>6.3299999999999995E-2</v>
      </c>
      <c r="L69" s="45"/>
      <c r="M69" s="45"/>
      <c r="N69" s="45"/>
      <c r="O69" s="45"/>
      <c r="P69" s="45"/>
      <c r="Q69" s="870"/>
      <c r="R69" s="871"/>
      <c r="S69" s="871"/>
      <c r="T69" s="868">
        <f t="shared" si="45"/>
        <v>6.8064590999999995E-4</v>
      </c>
      <c r="U69" s="869">
        <f t="shared" si="45"/>
        <v>6.8064590999999995E-4</v>
      </c>
      <c r="V69" s="869">
        <f t="shared" si="45"/>
        <v>6.8064590999999995E-4</v>
      </c>
      <c r="W69" s="869">
        <f t="shared" si="45"/>
        <v>6.8064590999999995E-4</v>
      </c>
      <c r="X69" s="869">
        <f t="shared" si="45"/>
        <v>6.8064590999999995E-4</v>
      </c>
      <c r="Y69" s="869">
        <f t="shared" si="45"/>
        <v>6.8064590999999995E-4</v>
      </c>
      <c r="Z69" s="869">
        <f t="shared" si="45"/>
        <v>6.8064590999999995E-4</v>
      </c>
      <c r="AA69" s="869">
        <f t="shared" si="45"/>
        <v>6.8064590999999995E-4</v>
      </c>
      <c r="AB69" s="869">
        <f t="shared" si="45"/>
        <v>6.8064590999999995E-4</v>
      </c>
      <c r="AC69" s="869">
        <f t="shared" si="45"/>
        <v>6.8064590999999995E-4</v>
      </c>
      <c r="AD69" s="869">
        <f t="shared" si="45"/>
        <v>6.8064590999999995E-4</v>
      </c>
      <c r="AE69" s="869">
        <f t="shared" si="45"/>
        <v>6.8064590999999995E-4</v>
      </c>
      <c r="AF69" s="859"/>
      <c r="AG69" s="842">
        <f t="shared" si="46"/>
        <v>0.75959999999999972</v>
      </c>
      <c r="AH69" s="859">
        <f t="shared" si="47"/>
        <v>2.5849490800000027E-3</v>
      </c>
    </row>
    <row r="70" spans="1:34">
      <c r="A70" s="850" t="s">
        <v>229</v>
      </c>
      <c r="B70" s="851" t="s">
        <v>599</v>
      </c>
      <c r="C70" s="864">
        <f>(142204-62311)/(10^7)</f>
        <v>7.9892999999999995E-3</v>
      </c>
      <c r="D70" s="864"/>
      <c r="E70" s="865">
        <f t="shared" si="43"/>
        <v>7.9892999999999995E-3</v>
      </c>
      <c r="F70" s="865"/>
      <c r="G70" s="865"/>
      <c r="H70" s="865">
        <f t="shared" si="44"/>
        <v>7.9892999999999995E-3</v>
      </c>
      <c r="I70" s="865">
        <f t="shared" si="41"/>
        <v>7.9892999999999995E-3</v>
      </c>
      <c r="J70" s="837"/>
      <c r="K70" s="858">
        <v>6.3299999999999995E-2</v>
      </c>
      <c r="L70" s="45"/>
      <c r="M70" s="45"/>
      <c r="N70" s="45"/>
      <c r="O70" s="45"/>
      <c r="P70" s="45"/>
      <c r="Q70" s="870"/>
      <c r="R70" s="871"/>
      <c r="S70" s="871"/>
      <c r="T70" s="871"/>
      <c r="U70" s="868">
        <f>$H70*VLOOKUP(U$33,$B$58:$K$80,10,FALSE)/2</f>
        <v>2.5286134499999998E-4</v>
      </c>
      <c r="V70" s="869">
        <f t="shared" ref="V70:AE70" si="48">$I70*VLOOKUP(V$33,$B$58:$K$80,10,FALSE)</f>
        <v>5.0572268999999996E-4</v>
      </c>
      <c r="W70" s="869">
        <f t="shared" si="48"/>
        <v>5.0572268999999996E-4</v>
      </c>
      <c r="X70" s="869">
        <f t="shared" si="48"/>
        <v>5.0572268999999996E-4</v>
      </c>
      <c r="Y70" s="869">
        <f t="shared" si="48"/>
        <v>5.0572268999999996E-4</v>
      </c>
      <c r="Z70" s="869">
        <f t="shared" si="48"/>
        <v>5.0572268999999996E-4</v>
      </c>
      <c r="AA70" s="869">
        <f t="shared" si="48"/>
        <v>5.0572268999999996E-4</v>
      </c>
      <c r="AB70" s="869">
        <f t="shared" si="48"/>
        <v>5.0572268999999996E-4</v>
      </c>
      <c r="AC70" s="869">
        <f t="shared" si="48"/>
        <v>5.0572268999999996E-4</v>
      </c>
      <c r="AD70" s="869">
        <f t="shared" si="48"/>
        <v>5.0572268999999996E-4</v>
      </c>
      <c r="AE70" s="869">
        <f t="shared" si="48"/>
        <v>5.0572268999999996E-4</v>
      </c>
      <c r="AF70" s="859"/>
      <c r="AG70" s="842">
        <f t="shared" si="46"/>
        <v>0.66464999999999996</v>
      </c>
      <c r="AH70" s="859">
        <f t="shared" si="47"/>
        <v>2.6792117549999999E-3</v>
      </c>
    </row>
    <row r="71" spans="1:34">
      <c r="A71" s="850" t="s">
        <v>229</v>
      </c>
      <c r="B71" s="851" t="s">
        <v>600</v>
      </c>
      <c r="C71" s="864"/>
      <c r="D71" s="864">
        <f>(21173-39685)/(10^7)</f>
        <v>-1.8511999999999999E-3</v>
      </c>
      <c r="E71" s="865">
        <f t="shared" si="43"/>
        <v>-1.8511999999999999E-3</v>
      </c>
      <c r="F71" s="865"/>
      <c r="G71" s="865"/>
      <c r="H71" s="865">
        <f t="shared" si="44"/>
        <v>-1.8511999999999999E-3</v>
      </c>
      <c r="I71" s="865">
        <f t="shared" si="41"/>
        <v>-1.8511999999999999E-3</v>
      </c>
      <c r="J71" s="837"/>
      <c r="K71" s="858">
        <v>6.3299999999999995E-2</v>
      </c>
      <c r="L71" s="45"/>
      <c r="M71" s="45"/>
      <c r="N71" s="45"/>
      <c r="O71" s="45"/>
      <c r="P71" s="45"/>
      <c r="Q71" s="870"/>
      <c r="R71" s="871"/>
      <c r="S71" s="871"/>
      <c r="T71" s="871"/>
      <c r="U71" s="871"/>
      <c r="V71" s="868"/>
      <c r="W71" s="869">
        <f>-(28930/10^7+D71)</f>
        <v>-1.0418000000000003E-3</v>
      </c>
      <c r="X71" s="869"/>
      <c r="Y71" s="869"/>
      <c r="Z71" s="869"/>
      <c r="AA71" s="869"/>
      <c r="AB71" s="869"/>
      <c r="AC71" s="869"/>
      <c r="AD71" s="869"/>
      <c r="AE71" s="869"/>
      <c r="AF71" s="859"/>
      <c r="AG71" s="842">
        <f t="shared" si="46"/>
        <v>0.56277009507346609</v>
      </c>
      <c r="AH71" s="859">
        <f t="shared" si="47"/>
        <v>-8.0939999999999962E-4</v>
      </c>
    </row>
    <row r="72" spans="1:34">
      <c r="A72" s="850" t="s">
        <v>229</v>
      </c>
      <c r="B72" s="851" t="s">
        <v>601</v>
      </c>
      <c r="C72" s="864">
        <f>0/(10^7)</f>
        <v>0</v>
      </c>
      <c r="D72" s="864"/>
      <c r="E72" s="865">
        <f t="shared" si="43"/>
        <v>0</v>
      </c>
      <c r="F72" s="865"/>
      <c r="G72" s="865"/>
      <c r="H72" s="865">
        <f t="shared" si="44"/>
        <v>0</v>
      </c>
      <c r="I72" s="865">
        <f t="shared" si="41"/>
        <v>0</v>
      </c>
      <c r="J72" s="837"/>
      <c r="K72" s="858">
        <v>6.3299999999999995E-2</v>
      </c>
      <c r="L72" s="45"/>
      <c r="M72" s="45"/>
      <c r="N72" s="45"/>
      <c r="O72" s="45"/>
      <c r="P72" s="45"/>
      <c r="Q72" s="870"/>
      <c r="R72" s="871"/>
      <c r="S72" s="871"/>
      <c r="T72" s="871"/>
      <c r="U72" s="871"/>
      <c r="V72" s="871"/>
      <c r="W72" s="868">
        <f>$H72*VLOOKUP(W$33,$B$58:$K$80,10,FALSE)/2</f>
        <v>0</v>
      </c>
      <c r="X72" s="869">
        <f t="shared" ref="X72:AE72" si="49">$I72*VLOOKUP(X$33,$B$58:$K$80,10,FALSE)</f>
        <v>0</v>
      </c>
      <c r="Y72" s="869">
        <f t="shared" si="49"/>
        <v>0</v>
      </c>
      <c r="Z72" s="869">
        <f t="shared" si="49"/>
        <v>0</v>
      </c>
      <c r="AA72" s="869">
        <f t="shared" si="49"/>
        <v>0</v>
      </c>
      <c r="AB72" s="869">
        <f t="shared" si="49"/>
        <v>0</v>
      </c>
      <c r="AC72" s="869">
        <f t="shared" si="49"/>
        <v>0</v>
      </c>
      <c r="AD72" s="869">
        <f t="shared" si="49"/>
        <v>0</v>
      </c>
      <c r="AE72" s="869">
        <f t="shared" si="49"/>
        <v>0</v>
      </c>
      <c r="AF72" s="859"/>
      <c r="AG72" s="842">
        <f t="shared" si="46"/>
        <v>0</v>
      </c>
      <c r="AH72" s="859">
        <f t="shared" si="47"/>
        <v>0</v>
      </c>
    </row>
    <row r="73" spans="1:34">
      <c r="A73" s="850" t="s">
        <v>229</v>
      </c>
      <c r="B73" s="851" t="s">
        <v>602</v>
      </c>
      <c r="C73" s="864">
        <f>24200/(10^7)</f>
        <v>2.4199999999999998E-3</v>
      </c>
      <c r="D73" s="864"/>
      <c r="E73" s="865">
        <f t="shared" si="43"/>
        <v>2.4199999999999998E-3</v>
      </c>
      <c r="F73" s="865"/>
      <c r="G73" s="865"/>
      <c r="H73" s="865">
        <f t="shared" si="44"/>
        <v>2.4199999999999998E-3</v>
      </c>
      <c r="I73" s="865">
        <f>H73</f>
        <v>2.4199999999999998E-3</v>
      </c>
      <c r="J73" s="837"/>
      <c r="K73" s="858">
        <v>6.3299999999999995E-2</v>
      </c>
      <c r="L73" s="45"/>
      <c r="M73" s="45"/>
      <c r="N73" s="45"/>
      <c r="O73" s="45"/>
      <c r="P73" s="45"/>
      <c r="Q73" s="870"/>
      <c r="R73" s="871"/>
      <c r="S73" s="871"/>
      <c r="T73" s="871"/>
      <c r="U73" s="871"/>
      <c r="V73" s="871"/>
      <c r="W73" s="871"/>
      <c r="X73" s="868">
        <f>$H73*VLOOKUP(X$33,$B$58:$K$80,10,FALSE)/2</f>
        <v>7.659299999999999E-5</v>
      </c>
      <c r="Y73" s="869">
        <f t="shared" ref="Y73:AE73" si="50">$I73*VLOOKUP(Y$33,$B$58:$K$80,10,FALSE)</f>
        <v>1.5318599999999998E-4</v>
      </c>
      <c r="Z73" s="869">
        <f t="shared" si="50"/>
        <v>1.5318599999999998E-4</v>
      </c>
      <c r="AA73" s="869">
        <f t="shared" si="50"/>
        <v>1.5318599999999998E-4</v>
      </c>
      <c r="AB73" s="869">
        <f t="shared" si="50"/>
        <v>1.5318599999999998E-4</v>
      </c>
      <c r="AC73" s="869">
        <f t="shared" si="50"/>
        <v>1.5318599999999998E-4</v>
      </c>
      <c r="AD73" s="869">
        <f t="shared" si="50"/>
        <v>1.5318599999999998E-4</v>
      </c>
      <c r="AE73" s="869">
        <f t="shared" si="50"/>
        <v>1.5318599999999998E-4</v>
      </c>
      <c r="AF73" s="859"/>
      <c r="AG73" s="842">
        <f t="shared" si="46"/>
        <v>0.47475000000000006</v>
      </c>
      <c r="AH73" s="859">
        <f t="shared" si="47"/>
        <v>1.2711049999999998E-3</v>
      </c>
    </row>
    <row r="74" spans="1:34">
      <c r="A74" s="850" t="s">
        <v>229</v>
      </c>
      <c r="B74" s="851" t="s">
        <v>603</v>
      </c>
      <c r="C74" s="864">
        <f>'F4'!J17</f>
        <v>1.189E-3</v>
      </c>
      <c r="D74" s="865">
        <f>(11890-14500)/(10^7)</f>
        <v>-2.61E-4</v>
      </c>
      <c r="E74" s="865">
        <f t="shared" si="43"/>
        <v>9.2800000000000001E-4</v>
      </c>
      <c r="F74" s="865"/>
      <c r="G74" s="865"/>
      <c r="H74" s="865">
        <f t="shared" si="44"/>
        <v>9.2800000000000001E-4</v>
      </c>
      <c r="I74" s="865">
        <f>H74</f>
        <v>9.2800000000000001E-4</v>
      </c>
      <c r="J74" s="837"/>
      <c r="K74" s="858">
        <v>6.3299999999999995E-2</v>
      </c>
      <c r="L74" s="45"/>
      <c r="M74" s="45"/>
      <c r="N74" s="45"/>
      <c r="O74" s="45"/>
      <c r="P74" s="45"/>
      <c r="Q74" s="870"/>
      <c r="R74" s="871"/>
      <c r="S74" s="871"/>
      <c r="T74" s="871"/>
      <c r="U74" s="871"/>
      <c r="V74" s="871"/>
      <c r="W74" s="871"/>
      <c r="X74" s="871"/>
      <c r="Y74" s="868">
        <f>$H74*VLOOKUP(Y$33,$B$58:$K$80,10,FALSE)/2</f>
        <v>2.9371199999999998E-5</v>
      </c>
      <c r="Z74" s="869">
        <f t="shared" ref="Z74:AE74" si="51">$I74*VLOOKUP(Z$33,$B$58:$K$80,10,FALSE)</f>
        <v>5.8742399999999995E-5</v>
      </c>
      <c r="AA74" s="869">
        <f t="shared" si="51"/>
        <v>5.8742399999999995E-5</v>
      </c>
      <c r="AB74" s="869">
        <f t="shared" si="51"/>
        <v>5.8742399999999995E-5</v>
      </c>
      <c r="AC74" s="869">
        <f t="shared" si="51"/>
        <v>5.8742399999999995E-5</v>
      </c>
      <c r="AD74" s="869">
        <f t="shared" si="51"/>
        <v>5.8742399999999995E-5</v>
      </c>
      <c r="AE74" s="869">
        <f t="shared" si="51"/>
        <v>5.8742399999999995E-5</v>
      </c>
      <c r="AF74" s="859"/>
      <c r="AG74" s="842">
        <f t="shared" si="46"/>
        <v>0.41144999999999993</v>
      </c>
      <c r="AH74" s="859">
        <f t="shared" si="47"/>
        <v>5.461744000000001E-4</v>
      </c>
    </row>
    <row r="75" spans="1:34">
      <c r="A75" s="850" t="s">
        <v>229</v>
      </c>
      <c r="B75" s="851" t="s">
        <v>607</v>
      </c>
      <c r="C75" s="865">
        <f>'F4'!O17</f>
        <v>0.05</v>
      </c>
      <c r="D75" s="865"/>
      <c r="E75" s="865">
        <f t="shared" si="43"/>
        <v>0.05</v>
      </c>
      <c r="F75" s="865"/>
      <c r="G75" s="865"/>
      <c r="H75" s="865">
        <f t="shared" si="44"/>
        <v>0.05</v>
      </c>
      <c r="I75" s="865">
        <f t="shared" ref="I75:I80" si="52">H75</f>
        <v>0.05</v>
      </c>
      <c r="J75" s="837"/>
      <c r="K75" s="858">
        <v>6.3299999999999995E-2</v>
      </c>
      <c r="L75" s="45"/>
      <c r="M75" s="45"/>
      <c r="N75" s="45"/>
      <c r="O75" s="45"/>
      <c r="P75" s="45"/>
      <c r="Q75" s="870"/>
      <c r="R75" s="871"/>
      <c r="S75" s="871"/>
      <c r="T75" s="871"/>
      <c r="U75" s="871"/>
      <c r="V75" s="871"/>
      <c r="W75" s="871"/>
      <c r="X75" s="871"/>
      <c r="Y75" s="871"/>
      <c r="Z75" s="868">
        <f>$H75*VLOOKUP(Z$33,$B$58:$K$80,10,FALSE)/2</f>
        <v>1.5824999999999999E-3</v>
      </c>
      <c r="AA75" s="869">
        <f>$I75*VLOOKUP(AA$33,$B$58:$K$80,10,FALSE)</f>
        <v>3.1649999999999998E-3</v>
      </c>
      <c r="AB75" s="869">
        <f>$I75*VLOOKUP(AB$33,$B$58:$K$80,10,FALSE)</f>
        <v>3.1649999999999998E-3</v>
      </c>
      <c r="AC75" s="869">
        <f>$I75*VLOOKUP(AC$33,$B$58:$K$80,10,FALSE)</f>
        <v>3.1649999999999998E-3</v>
      </c>
      <c r="AD75" s="869">
        <f>$I75*VLOOKUP(AD$33,$B$58:$K$80,10,FALSE)</f>
        <v>3.1649999999999998E-3</v>
      </c>
      <c r="AE75" s="869">
        <f>$I75*VLOOKUP(AE$33,$B$58:$K$80,10,FALSE)</f>
        <v>3.1649999999999998E-3</v>
      </c>
      <c r="AF75" s="859"/>
      <c r="AG75" s="842">
        <f t="shared" si="46"/>
        <v>0.34814999999999996</v>
      </c>
      <c r="AH75" s="859">
        <f t="shared" si="47"/>
        <v>3.2592500000000003E-2</v>
      </c>
    </row>
    <row r="76" spans="1:34">
      <c r="A76" s="850" t="s">
        <v>229</v>
      </c>
      <c r="B76" s="851" t="s">
        <v>608</v>
      </c>
      <c r="C76" s="865">
        <f>'F4'!T17</f>
        <v>0.05</v>
      </c>
      <c r="D76" s="865"/>
      <c r="E76" s="865">
        <f t="shared" si="43"/>
        <v>0.05</v>
      </c>
      <c r="F76" s="865"/>
      <c r="G76" s="865"/>
      <c r="H76" s="865">
        <f t="shared" si="44"/>
        <v>0.05</v>
      </c>
      <c r="I76" s="865">
        <f t="shared" si="52"/>
        <v>0.05</v>
      </c>
      <c r="J76" s="837"/>
      <c r="K76" s="858">
        <v>6.3299999999999995E-2</v>
      </c>
      <c r="L76" s="45"/>
      <c r="M76" s="45"/>
      <c r="N76" s="45"/>
      <c r="O76" s="45"/>
      <c r="P76" s="45"/>
      <c r="Q76" s="870"/>
      <c r="R76" s="871"/>
      <c r="S76" s="871"/>
      <c r="T76" s="871"/>
      <c r="U76" s="871"/>
      <c r="V76" s="871"/>
      <c r="W76" s="871"/>
      <c r="X76" s="871"/>
      <c r="Y76" s="871"/>
      <c r="Z76" s="871"/>
      <c r="AA76" s="868">
        <f>$H76*VLOOKUP(AA$33,$B$58:$K$80,10,FALSE)/2</f>
        <v>1.5824999999999999E-3</v>
      </c>
      <c r="AB76" s="869">
        <f>$I76*VLOOKUP(AB$33,$B$58:$K$80,10,FALSE)</f>
        <v>3.1649999999999998E-3</v>
      </c>
      <c r="AC76" s="869">
        <f>$I76*VLOOKUP(AC$33,$B$58:$K$80,10,FALSE)</f>
        <v>3.1649999999999998E-3</v>
      </c>
      <c r="AD76" s="869">
        <f>$I76*VLOOKUP(AD$33,$B$58:$K$80,10,FALSE)</f>
        <v>3.1649999999999998E-3</v>
      </c>
      <c r="AE76" s="869">
        <f>$I76*VLOOKUP(AE$33,$B$58:$K$80,10,FALSE)</f>
        <v>3.1649999999999998E-3</v>
      </c>
      <c r="AF76" s="859"/>
      <c r="AG76" s="842">
        <f t="shared" si="46"/>
        <v>0.28484999999999994</v>
      </c>
      <c r="AH76" s="859">
        <f t="shared" si="47"/>
        <v>3.5757500000000005E-2</v>
      </c>
    </row>
    <row r="77" spans="1:34">
      <c r="A77" s="850" t="s">
        <v>229</v>
      </c>
      <c r="B77" s="851" t="s">
        <v>609</v>
      </c>
      <c r="C77" s="865">
        <f>'F4'!E33</f>
        <v>0.01</v>
      </c>
      <c r="D77" s="865"/>
      <c r="E77" s="865">
        <f t="shared" si="43"/>
        <v>0.01</v>
      </c>
      <c r="F77" s="865"/>
      <c r="G77" s="865"/>
      <c r="H77" s="865">
        <f t="shared" si="44"/>
        <v>0.01</v>
      </c>
      <c r="I77" s="865">
        <f t="shared" si="52"/>
        <v>0.01</v>
      </c>
      <c r="J77" s="837"/>
      <c r="K77" s="858">
        <v>6.3299999999999995E-2</v>
      </c>
      <c r="L77" s="45"/>
      <c r="M77" s="45"/>
      <c r="N77" s="45"/>
      <c r="O77" s="45"/>
      <c r="P77" s="45"/>
      <c r="Q77" s="870"/>
      <c r="R77" s="871"/>
      <c r="S77" s="871"/>
      <c r="T77" s="871"/>
      <c r="U77" s="871"/>
      <c r="V77" s="871"/>
      <c r="W77" s="871"/>
      <c r="X77" s="871"/>
      <c r="Y77" s="871"/>
      <c r="Z77" s="871"/>
      <c r="AA77" s="871"/>
      <c r="AB77" s="868">
        <f>$H77*VLOOKUP(AB$33,$B$58:$K$80,10,FALSE)/2</f>
        <v>3.165E-4</v>
      </c>
      <c r="AC77" s="869">
        <f>$I77*VLOOKUP(AC$33,$B$58:$K$80,10,FALSE)</f>
        <v>6.3299999999999999E-4</v>
      </c>
      <c r="AD77" s="869">
        <f>$I77*VLOOKUP(AD$33,$B$58:$K$80,10,FALSE)</f>
        <v>6.3299999999999999E-4</v>
      </c>
      <c r="AE77" s="869">
        <f>$I77*VLOOKUP(AE$33,$B$58:$K$80,10,FALSE)</f>
        <v>6.3299999999999999E-4</v>
      </c>
      <c r="AF77" s="859"/>
      <c r="AG77" s="842">
        <f t="shared" si="46"/>
        <v>0.22155</v>
      </c>
      <c r="AH77" s="859">
        <f t="shared" si="47"/>
        <v>7.7844999999999998E-3</v>
      </c>
    </row>
    <row r="78" spans="1:34">
      <c r="A78" s="850" t="s">
        <v>229</v>
      </c>
      <c r="B78" s="851" t="s">
        <v>610</v>
      </c>
      <c r="C78" s="865">
        <f>'F4'!J33</f>
        <v>0.01</v>
      </c>
      <c r="D78" s="865"/>
      <c r="E78" s="865">
        <f t="shared" si="43"/>
        <v>0.01</v>
      </c>
      <c r="F78" s="865"/>
      <c r="G78" s="865"/>
      <c r="H78" s="865">
        <f t="shared" si="44"/>
        <v>0.01</v>
      </c>
      <c r="I78" s="865">
        <f t="shared" si="52"/>
        <v>0.01</v>
      </c>
      <c r="J78" s="837"/>
      <c r="K78" s="858">
        <v>6.3299999999999995E-2</v>
      </c>
      <c r="L78" s="45"/>
      <c r="M78" s="45"/>
      <c r="N78" s="45"/>
      <c r="O78" s="45"/>
      <c r="P78" s="45"/>
      <c r="Q78" s="870"/>
      <c r="R78" s="871"/>
      <c r="S78" s="871"/>
      <c r="T78" s="871"/>
      <c r="U78" s="871"/>
      <c r="V78" s="871"/>
      <c r="W78" s="871"/>
      <c r="X78" s="871"/>
      <c r="Y78" s="871"/>
      <c r="Z78" s="871"/>
      <c r="AA78" s="871"/>
      <c r="AB78" s="871"/>
      <c r="AC78" s="868">
        <f>$H78*VLOOKUP(AC$33,$B$58:$K$80,10,FALSE)/2</f>
        <v>3.165E-4</v>
      </c>
      <c r="AD78" s="869">
        <f>$I78*VLOOKUP(AD$33,$B$58:$K$80,10,FALSE)</f>
        <v>6.3299999999999999E-4</v>
      </c>
      <c r="AE78" s="869">
        <f>$I78*VLOOKUP(AE$33,$B$58:$K$80,10,FALSE)</f>
        <v>6.3299999999999999E-4</v>
      </c>
      <c r="AF78" s="859"/>
      <c r="AG78" s="842">
        <f t="shared" si="46"/>
        <v>0.15825</v>
      </c>
      <c r="AH78" s="859">
        <f t="shared" si="47"/>
        <v>8.4174999999999996E-3</v>
      </c>
    </row>
    <row r="79" spans="1:34">
      <c r="A79" s="850" t="s">
        <v>229</v>
      </c>
      <c r="B79" s="851" t="s">
        <v>611</v>
      </c>
      <c r="C79" s="865">
        <f>'F4'!O33</f>
        <v>0.01</v>
      </c>
      <c r="D79" s="865"/>
      <c r="E79" s="865">
        <f t="shared" si="43"/>
        <v>0.01</v>
      </c>
      <c r="F79" s="865"/>
      <c r="G79" s="865"/>
      <c r="H79" s="865">
        <f t="shared" si="44"/>
        <v>0.01</v>
      </c>
      <c r="I79" s="865">
        <f t="shared" si="52"/>
        <v>0.01</v>
      </c>
      <c r="J79" s="837"/>
      <c r="K79" s="858">
        <v>6.3299999999999995E-2</v>
      </c>
      <c r="L79" s="45"/>
      <c r="M79" s="45"/>
      <c r="N79" s="45"/>
      <c r="O79" s="45"/>
      <c r="P79" s="45"/>
      <c r="Q79" s="870"/>
      <c r="R79" s="871"/>
      <c r="S79" s="871"/>
      <c r="T79" s="871"/>
      <c r="U79" s="871"/>
      <c r="V79" s="871"/>
      <c r="W79" s="871"/>
      <c r="X79" s="871"/>
      <c r="Y79" s="871"/>
      <c r="Z79" s="871"/>
      <c r="AA79" s="871"/>
      <c r="AB79" s="871"/>
      <c r="AC79" s="871"/>
      <c r="AD79" s="868">
        <f>$H79*VLOOKUP(AD$33,$B$58:$K$80,10,FALSE)/2</f>
        <v>3.165E-4</v>
      </c>
      <c r="AE79" s="869">
        <f>$I79*VLOOKUP(AE$33,$B$58:$K$80,10,FALSE)</f>
        <v>6.3299999999999999E-4</v>
      </c>
      <c r="AF79" s="859"/>
      <c r="AG79" s="842">
        <f t="shared" si="46"/>
        <v>9.4950000000000007E-2</v>
      </c>
      <c r="AH79" s="859">
        <f t="shared" si="47"/>
        <v>9.0504999999999995E-3</v>
      </c>
    </row>
    <row r="80" spans="1:34">
      <c r="A80" s="850" t="s">
        <v>229</v>
      </c>
      <c r="B80" s="851" t="s">
        <v>612</v>
      </c>
      <c r="C80" s="865">
        <f>'F4'!T33</f>
        <v>0.01</v>
      </c>
      <c r="D80" s="865"/>
      <c r="E80" s="865">
        <f t="shared" si="43"/>
        <v>0.01</v>
      </c>
      <c r="F80" s="865"/>
      <c r="G80" s="865"/>
      <c r="H80" s="865">
        <f t="shared" si="44"/>
        <v>0.01</v>
      </c>
      <c r="I80" s="865">
        <f t="shared" si="52"/>
        <v>0.01</v>
      </c>
      <c r="J80" s="837"/>
      <c r="K80" s="858">
        <v>6.3299999999999995E-2</v>
      </c>
      <c r="L80" s="45"/>
      <c r="M80" s="45"/>
      <c r="N80" s="45"/>
      <c r="O80" s="45"/>
      <c r="P80" s="45"/>
      <c r="Q80" s="870"/>
      <c r="R80" s="871"/>
      <c r="S80" s="871"/>
      <c r="T80" s="871"/>
      <c r="U80" s="871"/>
      <c r="V80" s="871"/>
      <c r="W80" s="871"/>
      <c r="X80" s="871"/>
      <c r="Y80" s="871"/>
      <c r="Z80" s="871"/>
      <c r="AA80" s="871"/>
      <c r="AB80" s="871"/>
      <c r="AC80" s="871"/>
      <c r="AD80" s="871"/>
      <c r="AE80" s="868">
        <f>$H80*VLOOKUP(AE$33,$B$58:$K$80,10,FALSE)/2</f>
        <v>3.165E-4</v>
      </c>
      <c r="AF80" s="859"/>
      <c r="AG80" s="842">
        <f t="shared" si="46"/>
        <v>3.1649999999999998E-2</v>
      </c>
      <c r="AH80" s="859">
        <f t="shared" si="47"/>
        <v>9.6834999999999994E-3</v>
      </c>
    </row>
    <row r="81" spans="1:34">
      <c r="A81" s="853" t="s">
        <v>613</v>
      </c>
      <c r="B81" s="854" t="s">
        <v>23</v>
      </c>
      <c r="C81" s="866">
        <f>SUM(C66:C80)</f>
        <v>0.19151110000000005</v>
      </c>
      <c r="D81" s="866">
        <f>SUM(D66:D80)</f>
        <v>-2.1121999999999998E-3</v>
      </c>
      <c r="E81" s="866">
        <f>SUM(E66:E80)</f>
        <v>0.18939890000000004</v>
      </c>
      <c r="F81" s="866">
        <f t="shared" ref="F81:J81" si="53">SUM(F66:F80)</f>
        <v>0</v>
      </c>
      <c r="G81" s="866">
        <f t="shared" si="53"/>
        <v>0</v>
      </c>
      <c r="H81" s="866">
        <f t="shared" si="53"/>
        <v>0.18939890000000004</v>
      </c>
      <c r="I81" s="866">
        <f t="shared" si="53"/>
        <v>0.18939890000000004</v>
      </c>
      <c r="J81" s="855">
        <f t="shared" si="53"/>
        <v>0</v>
      </c>
      <c r="K81" s="855"/>
      <c r="L81" s="855">
        <f t="shared" ref="L81:P81" si="54">SUM(L66:L80)</f>
        <v>0</v>
      </c>
      <c r="M81" s="855">
        <f t="shared" si="54"/>
        <v>0</v>
      </c>
      <c r="N81" s="855">
        <f t="shared" si="54"/>
        <v>0</v>
      </c>
      <c r="O81" s="855">
        <f t="shared" si="54"/>
        <v>0</v>
      </c>
      <c r="P81" s="855">
        <f t="shared" si="54"/>
        <v>0</v>
      </c>
      <c r="Q81" s="872">
        <f>SUM(Q60:Q80)</f>
        <v>9.2145367999999991E-4</v>
      </c>
      <c r="R81" s="872">
        <f t="shared" ref="R81" si="55">SUM(R60:R80)</f>
        <v>6.3116630000000006E-4</v>
      </c>
      <c r="S81" s="872">
        <f t="shared" ref="S81" si="56">SUM(S60:S80)</f>
        <v>1.7002095149999999E-3</v>
      </c>
      <c r="T81" s="872">
        <f t="shared" ref="T81" si="57">SUM(T60:T80)</f>
        <v>2.5264802400000001E-3</v>
      </c>
      <c r="U81" s="872">
        <f t="shared" ref="U81" si="58">SUM(U60:U80)</f>
        <v>2.7793415850000001E-3</v>
      </c>
      <c r="V81" s="872">
        <f t="shared" ref="V81" si="59">SUM(V60:V80)</f>
        <v>3.0322029300000001E-3</v>
      </c>
      <c r="W81" s="872">
        <f t="shared" ref="W81" si="60">SUM(W60:W80)</f>
        <v>1.9904029299999998E-3</v>
      </c>
      <c r="X81" s="872">
        <f t="shared" ref="X81" si="61">SUM(X60:X80)</f>
        <v>3.1087959299999999E-3</v>
      </c>
      <c r="Y81" s="872">
        <f t="shared" ref="Y81" si="62">SUM(Y60:Y80)</f>
        <v>3.21476013E-3</v>
      </c>
      <c r="Z81" s="872">
        <f t="shared" ref="Z81" si="63">SUM(Z60:Z80)</f>
        <v>4.82663133E-3</v>
      </c>
      <c r="AA81" s="872">
        <f t="shared" ref="AA81" si="64">SUM(AA60:AA80)</f>
        <v>7.9916313300000003E-3</v>
      </c>
      <c r="AB81" s="872">
        <f t="shared" ref="AB81" si="65">SUM(AB60:AB80)</f>
        <v>9.89063133E-3</v>
      </c>
      <c r="AC81" s="872">
        <f t="shared" ref="AC81" si="66">SUM(AC60:AC80)</f>
        <v>1.052363133E-2</v>
      </c>
      <c r="AD81" s="872">
        <f t="shared" ref="AD81" si="67">SUM(AD60:AD80)</f>
        <v>1.115663133E-2</v>
      </c>
      <c r="AE81" s="872">
        <f t="shared" ref="AE81" si="68">SUM(AE60:AE80)</f>
        <v>1.178963133E-2</v>
      </c>
      <c r="AF81" s="839">
        <f t="shared" ref="AF81" si="69">SUM(AF66:AF80)</f>
        <v>0</v>
      </c>
      <c r="AG81" s="839"/>
      <c r="AH81" s="839">
        <f t="shared" ref="AH81" si="70">SUM(AH66:AH80)</f>
        <v>0.11331529878</v>
      </c>
    </row>
    <row r="82" spans="1:34">
      <c r="E82" s="838"/>
      <c r="H82" s="838">
        <f>'F4'!W33-H81</f>
        <v>-1.1889999999999956E-3</v>
      </c>
      <c r="AE82" s="838">
        <f>'F4'!W62-SUM(L81:AE81)</f>
        <v>-3.3453294099999864E-3</v>
      </c>
    </row>
    <row r="83" spans="1:34">
      <c r="B83" s="844" t="str">
        <f>'F4'!C18</f>
        <v>Computers</v>
      </c>
      <c r="L83" s="846" t="s">
        <v>33</v>
      </c>
    </row>
    <row r="84" spans="1:34" ht="30">
      <c r="A84" s="847"/>
      <c r="B84" s="857" t="s">
        <v>431</v>
      </c>
      <c r="C84" s="1221" t="s">
        <v>229</v>
      </c>
      <c r="D84" s="1221" t="s">
        <v>934</v>
      </c>
      <c r="E84" s="1221" t="s">
        <v>935</v>
      </c>
      <c r="F84" s="1221" t="s">
        <v>936</v>
      </c>
      <c r="G84" s="1221" t="s">
        <v>937</v>
      </c>
      <c r="H84" s="1221" t="s">
        <v>938</v>
      </c>
      <c r="I84" s="1221" t="s">
        <v>939</v>
      </c>
      <c r="J84" s="1223" t="s">
        <v>589</v>
      </c>
      <c r="K84" s="1223" t="s">
        <v>641</v>
      </c>
      <c r="L84" s="1226" t="s">
        <v>642</v>
      </c>
      <c r="M84" s="1226"/>
      <c r="N84" s="1226"/>
      <c r="O84" s="1226"/>
      <c r="P84" s="1226"/>
      <c r="Q84" s="1226"/>
      <c r="R84" s="1226"/>
      <c r="S84" s="1226"/>
      <c r="T84" s="1226"/>
      <c r="U84" s="1226"/>
      <c r="V84" s="1226"/>
      <c r="W84" s="1226"/>
      <c r="X84" s="1226"/>
      <c r="Y84" s="1226"/>
      <c r="Z84" s="1226"/>
      <c r="AA84" s="1226"/>
      <c r="AB84" s="1226"/>
      <c r="AC84" s="1226"/>
      <c r="AD84" s="1226"/>
      <c r="AE84" s="1226"/>
      <c r="AF84" s="848" t="s">
        <v>925</v>
      </c>
      <c r="AG84" s="848" t="s">
        <v>604</v>
      </c>
      <c r="AH84" s="848" t="s">
        <v>605</v>
      </c>
    </row>
    <row r="85" spans="1:34">
      <c r="A85" s="847"/>
      <c r="B85" s="857"/>
      <c r="C85" s="1222"/>
      <c r="D85" s="1222"/>
      <c r="E85" s="1222"/>
      <c r="F85" s="1222"/>
      <c r="G85" s="1222"/>
      <c r="H85" s="1222"/>
      <c r="I85" s="1227"/>
      <c r="J85" s="1224"/>
      <c r="K85" s="1224"/>
      <c r="L85" s="849" t="s">
        <v>590</v>
      </c>
      <c r="M85" s="849" t="s">
        <v>591</v>
      </c>
      <c r="N85" s="849" t="s">
        <v>592</v>
      </c>
      <c r="O85" s="849" t="s">
        <v>593</v>
      </c>
      <c r="P85" s="849" t="s">
        <v>594</v>
      </c>
      <c r="Q85" s="849" t="s">
        <v>595</v>
      </c>
      <c r="R85" s="849" t="s">
        <v>596</v>
      </c>
      <c r="S85" s="849" t="s">
        <v>597</v>
      </c>
      <c r="T85" s="849" t="s">
        <v>598</v>
      </c>
      <c r="U85" s="849" t="s">
        <v>599</v>
      </c>
      <c r="V85" s="849" t="s">
        <v>600</v>
      </c>
      <c r="W85" s="849" t="s">
        <v>601</v>
      </c>
      <c r="X85" s="849" t="s">
        <v>602</v>
      </c>
      <c r="Y85" s="849" t="s">
        <v>603</v>
      </c>
      <c r="Z85" s="849" t="s">
        <v>607</v>
      </c>
      <c r="AA85" s="849" t="s">
        <v>608</v>
      </c>
      <c r="AB85" s="849" t="s">
        <v>609</v>
      </c>
      <c r="AC85" s="849" t="s">
        <v>610</v>
      </c>
      <c r="AD85" s="849" t="s">
        <v>611</v>
      </c>
      <c r="AE85" s="849" t="s">
        <v>612</v>
      </c>
      <c r="AF85" s="848"/>
      <c r="AG85" s="848"/>
      <c r="AH85" s="848"/>
    </row>
    <row r="86" spans="1:34" ht="12.75" customHeight="1">
      <c r="A86" s="850" t="s">
        <v>606</v>
      </c>
      <c r="B86" s="851">
        <v>2005</v>
      </c>
      <c r="C86" s="852"/>
      <c r="D86" s="852"/>
      <c r="E86" s="852"/>
      <c r="F86" s="852"/>
      <c r="G86" s="852"/>
      <c r="H86" s="852"/>
      <c r="I86" s="852"/>
      <c r="J86" s="860"/>
      <c r="K86" s="861"/>
      <c r="L86" s="43"/>
      <c r="M86" s="43"/>
      <c r="N86" s="43"/>
      <c r="O86" s="43"/>
      <c r="P86" s="43"/>
      <c r="Q86" s="43"/>
      <c r="R86" s="43"/>
      <c r="S86" s="43"/>
      <c r="T86" s="43"/>
      <c r="U86" s="43"/>
      <c r="V86" s="43"/>
      <c r="W86" s="43"/>
      <c r="X86" s="43"/>
      <c r="Y86" s="43"/>
      <c r="Z86" s="43"/>
      <c r="AA86" s="43"/>
      <c r="AB86" s="43"/>
      <c r="AC86" s="43"/>
      <c r="AD86" s="43"/>
      <c r="AE86" s="43"/>
      <c r="AF86" s="859"/>
      <c r="AG86" s="859"/>
      <c r="AH86" s="859"/>
    </row>
    <row r="87" spans="1:34">
      <c r="A87" s="850" t="s">
        <v>229</v>
      </c>
      <c r="B87" s="851" t="s">
        <v>590</v>
      </c>
      <c r="C87" s="852"/>
      <c r="D87" s="852"/>
      <c r="E87" s="852"/>
      <c r="F87" s="852"/>
      <c r="G87" s="852"/>
      <c r="H87" s="852"/>
      <c r="I87" s="852"/>
      <c r="J87" s="860"/>
      <c r="K87" s="861"/>
      <c r="L87" s="44"/>
      <c r="M87" s="43"/>
      <c r="N87" s="43"/>
      <c r="O87" s="43"/>
      <c r="P87" s="43"/>
      <c r="Q87" s="43"/>
      <c r="R87" s="43"/>
      <c r="S87" s="43"/>
      <c r="T87" s="43"/>
      <c r="U87" s="43"/>
      <c r="V87" s="43"/>
      <c r="W87" s="43"/>
      <c r="X87" s="43"/>
      <c r="Y87" s="43"/>
      <c r="Z87" s="43"/>
      <c r="AA87" s="43"/>
      <c r="AB87" s="43"/>
      <c r="AC87" s="43"/>
      <c r="AD87" s="43"/>
      <c r="AE87" s="43"/>
      <c r="AF87" s="859"/>
      <c r="AG87" s="859"/>
      <c r="AH87" s="859"/>
    </row>
    <row r="88" spans="1:34">
      <c r="A88" s="850" t="s">
        <v>229</v>
      </c>
      <c r="B88" s="851" t="s">
        <v>591</v>
      </c>
      <c r="C88" s="852"/>
      <c r="D88" s="852"/>
      <c r="E88" s="852"/>
      <c r="F88" s="852"/>
      <c r="G88" s="852"/>
      <c r="H88" s="852"/>
      <c r="I88" s="852"/>
      <c r="J88" s="860"/>
      <c r="K88" s="861"/>
      <c r="L88" s="45"/>
      <c r="M88" s="44"/>
      <c r="N88" s="43"/>
      <c r="O88" s="43"/>
      <c r="P88" s="43"/>
      <c r="Q88" s="43"/>
      <c r="R88" s="43"/>
      <c r="S88" s="43"/>
      <c r="T88" s="43"/>
      <c r="U88" s="43"/>
      <c r="V88" s="43"/>
      <c r="W88" s="43"/>
      <c r="X88" s="43"/>
      <c r="Y88" s="43"/>
      <c r="Z88" s="43"/>
      <c r="AA88" s="43"/>
      <c r="AB88" s="43"/>
      <c r="AC88" s="43"/>
      <c r="AD88" s="43"/>
      <c r="AE88" s="43"/>
      <c r="AF88" s="859"/>
      <c r="AG88" s="859"/>
      <c r="AH88" s="859"/>
    </row>
    <row r="89" spans="1:34">
      <c r="A89" s="850" t="s">
        <v>229</v>
      </c>
      <c r="B89" s="851" t="s">
        <v>592</v>
      </c>
      <c r="C89" s="852"/>
      <c r="D89" s="852"/>
      <c r="E89" s="852"/>
      <c r="F89" s="852"/>
      <c r="G89" s="852"/>
      <c r="H89" s="852"/>
      <c r="I89" s="852"/>
      <c r="J89" s="860"/>
      <c r="K89" s="861"/>
      <c r="L89" s="45"/>
      <c r="M89" s="45"/>
      <c r="N89" s="44"/>
      <c r="O89" s="43"/>
      <c r="P89" s="43"/>
      <c r="Q89" s="43"/>
      <c r="R89" s="43"/>
      <c r="S89" s="43"/>
      <c r="T89" s="43"/>
      <c r="U89" s="43"/>
      <c r="V89" s="43"/>
      <c r="W89" s="43"/>
      <c r="X89" s="43"/>
      <c r="Y89" s="43"/>
      <c r="Z89" s="43"/>
      <c r="AA89" s="43"/>
      <c r="AB89" s="43"/>
      <c r="AC89" s="43"/>
      <c r="AD89" s="43"/>
      <c r="AE89" s="43"/>
      <c r="AF89" s="859"/>
      <c r="AG89" s="859"/>
      <c r="AH89" s="859"/>
    </row>
    <row r="90" spans="1:34">
      <c r="A90" s="850" t="s">
        <v>229</v>
      </c>
      <c r="B90" s="851" t="s">
        <v>593</v>
      </c>
      <c r="C90" s="852"/>
      <c r="D90" s="852"/>
      <c r="E90" s="852"/>
      <c r="F90" s="852"/>
      <c r="G90" s="852"/>
      <c r="H90" s="852"/>
      <c r="I90" s="852"/>
      <c r="J90" s="860"/>
      <c r="K90" s="861"/>
      <c r="L90" s="45"/>
      <c r="M90" s="45"/>
      <c r="N90" s="45"/>
      <c r="O90" s="44"/>
      <c r="P90" s="43"/>
      <c r="Q90" s="43"/>
      <c r="R90" s="43"/>
      <c r="S90" s="43"/>
      <c r="T90" s="43"/>
      <c r="U90" s="43"/>
      <c r="V90" s="43"/>
      <c r="W90" s="43"/>
      <c r="X90" s="43"/>
      <c r="Y90" s="43"/>
      <c r="Z90" s="43"/>
      <c r="AA90" s="43"/>
      <c r="AB90" s="43"/>
      <c r="AC90" s="43"/>
      <c r="AD90" s="43"/>
      <c r="AE90" s="43"/>
      <c r="AF90" s="859"/>
      <c r="AG90" s="859"/>
      <c r="AH90" s="859"/>
    </row>
    <row r="91" spans="1:34">
      <c r="A91" s="850" t="s">
        <v>229</v>
      </c>
      <c r="B91" s="851" t="s">
        <v>594</v>
      </c>
      <c r="C91" s="852"/>
      <c r="D91" s="852"/>
      <c r="E91" s="852"/>
      <c r="F91" s="852"/>
      <c r="G91" s="852"/>
      <c r="H91" s="852"/>
      <c r="I91" s="852"/>
      <c r="J91" s="860"/>
      <c r="K91" s="861"/>
      <c r="L91" s="45"/>
      <c r="M91" s="45"/>
      <c r="N91" s="45"/>
      <c r="O91" s="45"/>
      <c r="P91" s="44"/>
      <c r="Q91" s="43"/>
      <c r="R91" s="43"/>
      <c r="S91" s="43"/>
      <c r="T91" s="43"/>
      <c r="U91" s="43"/>
      <c r="V91" s="43"/>
      <c r="W91" s="43"/>
      <c r="X91" s="43"/>
      <c r="Y91" s="43"/>
      <c r="Z91" s="43"/>
      <c r="AA91" s="43"/>
      <c r="AB91" s="43"/>
      <c r="AC91" s="43"/>
      <c r="AD91" s="43"/>
      <c r="AE91" s="43"/>
      <c r="AF91" s="859"/>
      <c r="AG91" s="859"/>
      <c r="AH91" s="859"/>
    </row>
    <row r="92" spans="1:34">
      <c r="A92" s="850" t="s">
        <v>229</v>
      </c>
      <c r="B92" s="851" t="s">
        <v>595</v>
      </c>
      <c r="C92" s="864">
        <f>171871/(10^7)</f>
        <v>1.71871E-2</v>
      </c>
      <c r="D92" s="864"/>
      <c r="E92" s="865">
        <f>C92+D92</f>
        <v>1.71871E-2</v>
      </c>
      <c r="F92" s="864"/>
      <c r="G92" s="864"/>
      <c r="H92" s="865">
        <f>E92+F92+G92</f>
        <v>1.71871E-2</v>
      </c>
      <c r="I92" s="865">
        <f t="shared" ref="I92:I98" si="71">H92</f>
        <v>1.71871E-2</v>
      </c>
      <c r="J92" s="837"/>
      <c r="K92" s="861">
        <f>2.57%+2.54%</f>
        <v>5.1099999999999993E-2</v>
      </c>
      <c r="L92" s="45"/>
      <c r="M92" s="45"/>
      <c r="N92" s="45"/>
      <c r="O92" s="45"/>
      <c r="P92" s="45"/>
      <c r="Q92" s="868">
        <f>$H92*VLOOKUP(Q$33,$B$84:$K$106,10,FALSE)/365*268</f>
        <v>6.4485999199999995E-4</v>
      </c>
      <c r="R92" s="869">
        <f>$H92*VLOOKUP(R$33,$B$84:$K$106,10,FALSE)</f>
        <v>4.4170847000000004E-4</v>
      </c>
      <c r="S92" s="869">
        <f>$H92*VLOOKUP(S$33,$B$84:$K$106,10,FALSE)</f>
        <v>2.578065E-3</v>
      </c>
      <c r="T92" s="869">
        <f>$H92*VLOOKUP(T$33,$B$84:$K$106,10,FALSE)+39856/10^7</f>
        <v>6.5636649999999998E-3</v>
      </c>
      <c r="U92" s="869">
        <f ca="1">SUM($I92*90%-SUM($Q92:$W92))/11</f>
        <v>3.7429225271428594E-4</v>
      </c>
      <c r="V92" s="869">
        <f t="shared" ref="V92:AE92" ca="1" si="72">SUM($I92*90%-SUM($Q92:$W92))/11</f>
        <v>3.7429225271428594E-4</v>
      </c>
      <c r="W92" s="869">
        <f t="shared" ca="1" si="72"/>
        <v>3.7429225271428594E-4</v>
      </c>
      <c r="X92" s="869">
        <f t="shared" ca="1" si="72"/>
        <v>3.7429225271428594E-4</v>
      </c>
      <c r="Y92" s="869">
        <f t="shared" ca="1" si="72"/>
        <v>3.7429225271428594E-4</v>
      </c>
      <c r="Z92" s="869">
        <f t="shared" ca="1" si="72"/>
        <v>3.7429225271428594E-4</v>
      </c>
      <c r="AA92" s="869">
        <f t="shared" ca="1" si="72"/>
        <v>3.7429225271428594E-4</v>
      </c>
      <c r="AB92" s="869">
        <f t="shared" ca="1" si="72"/>
        <v>3.7429225271428594E-4</v>
      </c>
      <c r="AC92" s="869">
        <f t="shared" ca="1" si="72"/>
        <v>3.7429225271428594E-4</v>
      </c>
      <c r="AD92" s="869">
        <f t="shared" ca="1" si="72"/>
        <v>3.7429225271428594E-4</v>
      </c>
      <c r="AE92" s="869">
        <f t="shared" ca="1" si="72"/>
        <v>3.7429225271428594E-4</v>
      </c>
      <c r="AF92" s="859"/>
      <c r="AG92" s="842">
        <f ca="1">IFERROR(SUM(Q92:AE92)/I92,0)</f>
        <v>0.83466746815094672</v>
      </c>
      <c r="AH92" s="859">
        <f ca="1">I92-SUM(Q92:AE92)</f>
        <v>2.8415867581428628E-3</v>
      </c>
    </row>
    <row r="93" spans="1:34">
      <c r="A93" s="850" t="s">
        <v>229</v>
      </c>
      <c r="B93" s="851" t="s">
        <v>596</v>
      </c>
      <c r="C93" s="864">
        <f>0/(10^7)</f>
        <v>0</v>
      </c>
      <c r="D93" s="864"/>
      <c r="E93" s="865">
        <f t="shared" ref="E93:E106" si="73">C93+D93</f>
        <v>0</v>
      </c>
      <c r="F93" s="864"/>
      <c r="G93" s="864"/>
      <c r="H93" s="865">
        <f t="shared" ref="H93:H106" si="74">E93+F93+G93</f>
        <v>0</v>
      </c>
      <c r="I93" s="865">
        <f t="shared" si="71"/>
        <v>0</v>
      </c>
      <c r="J93" s="837"/>
      <c r="K93" s="858">
        <v>2.5700000000000001E-2</v>
      </c>
      <c r="L93" s="45"/>
      <c r="M93" s="45"/>
      <c r="N93" s="45"/>
      <c r="O93" s="45"/>
      <c r="P93" s="45"/>
      <c r="Q93" s="870"/>
      <c r="R93" s="868">
        <f>$H93*VLOOKUP(R$33,$B$84:$K$106,10,FALSE)/365*121</f>
        <v>0</v>
      </c>
      <c r="S93" s="869">
        <f>$H93*VLOOKUP(S$33,$B$84:$K$106,10,FALSE)</f>
        <v>0</v>
      </c>
      <c r="T93" s="869">
        <f t="shared" ref="T93:AE94" si="75">$I93*VLOOKUP(T$33,$B$84:$K$106,10,FALSE)</f>
        <v>0</v>
      </c>
      <c r="U93" s="869">
        <f t="shared" si="75"/>
        <v>0</v>
      </c>
      <c r="V93" s="869">
        <f t="shared" si="75"/>
        <v>0</v>
      </c>
      <c r="W93" s="869">
        <f t="shared" si="75"/>
        <v>0</v>
      </c>
      <c r="X93" s="869">
        <f t="shared" si="75"/>
        <v>0</v>
      </c>
      <c r="Y93" s="869">
        <f t="shared" si="75"/>
        <v>0</v>
      </c>
      <c r="Z93" s="869">
        <f t="shared" si="75"/>
        <v>0</v>
      </c>
      <c r="AA93" s="869">
        <f t="shared" si="75"/>
        <v>0</v>
      </c>
      <c r="AB93" s="869">
        <f t="shared" si="75"/>
        <v>0</v>
      </c>
      <c r="AC93" s="869">
        <f t="shared" si="75"/>
        <v>0</v>
      </c>
      <c r="AD93" s="869">
        <f t="shared" si="75"/>
        <v>0</v>
      </c>
      <c r="AE93" s="869">
        <f t="shared" si="75"/>
        <v>0</v>
      </c>
      <c r="AF93" s="859"/>
      <c r="AG93" s="842">
        <f t="shared" ref="AG93:AG106" si="76">IFERROR(SUM(Q93:AE93)/I93,0)</f>
        <v>0</v>
      </c>
      <c r="AH93" s="859">
        <f t="shared" ref="AH93:AH106" si="77">I93-SUM(Q93:AE93)</f>
        <v>0</v>
      </c>
    </row>
    <row r="94" spans="1:34">
      <c r="A94" s="850" t="s">
        <v>229</v>
      </c>
      <c r="B94" s="851" t="s">
        <v>597</v>
      </c>
      <c r="C94" s="864">
        <f>0/(10^7)</f>
        <v>0</v>
      </c>
      <c r="D94" s="864"/>
      <c r="E94" s="865">
        <f t="shared" si="73"/>
        <v>0</v>
      </c>
      <c r="F94" s="864"/>
      <c r="G94" s="864"/>
      <c r="H94" s="865">
        <f t="shared" si="74"/>
        <v>0</v>
      </c>
      <c r="I94" s="865">
        <f t="shared" si="71"/>
        <v>0</v>
      </c>
      <c r="J94" s="837"/>
      <c r="K94" s="858">
        <v>0.15</v>
      </c>
      <c r="L94" s="45"/>
      <c r="M94" s="45"/>
      <c r="N94" s="45"/>
      <c r="O94" s="45"/>
      <c r="P94" s="45"/>
      <c r="Q94" s="870"/>
      <c r="R94" s="871"/>
      <c r="S94" s="868">
        <f>$H94*VLOOKUP(S$33,$B$84:$K$106,10,FALSE)/2</f>
        <v>0</v>
      </c>
      <c r="T94" s="869">
        <f t="shared" si="75"/>
        <v>0</v>
      </c>
      <c r="U94" s="869">
        <f t="shared" si="75"/>
        <v>0</v>
      </c>
      <c r="V94" s="869">
        <f t="shared" si="75"/>
        <v>0</v>
      </c>
      <c r="W94" s="869">
        <f t="shared" si="75"/>
        <v>0</v>
      </c>
      <c r="X94" s="869">
        <f t="shared" si="75"/>
        <v>0</v>
      </c>
      <c r="Y94" s="869">
        <f t="shared" si="75"/>
        <v>0</v>
      </c>
      <c r="Z94" s="869">
        <f t="shared" si="75"/>
        <v>0</v>
      </c>
      <c r="AA94" s="869">
        <f t="shared" si="75"/>
        <v>0</v>
      </c>
      <c r="AB94" s="869">
        <f t="shared" si="75"/>
        <v>0</v>
      </c>
      <c r="AC94" s="869">
        <f t="shared" si="75"/>
        <v>0</v>
      </c>
      <c r="AD94" s="869">
        <f t="shared" si="75"/>
        <v>0</v>
      </c>
      <c r="AE94" s="869">
        <f t="shared" si="75"/>
        <v>0</v>
      </c>
      <c r="AF94" s="859"/>
      <c r="AG94" s="842">
        <f t="shared" si="76"/>
        <v>0</v>
      </c>
      <c r="AH94" s="859">
        <f t="shared" si="77"/>
        <v>0</v>
      </c>
    </row>
    <row r="95" spans="1:34">
      <c r="A95" s="850" t="s">
        <v>229</v>
      </c>
      <c r="B95" s="851" t="s">
        <v>598</v>
      </c>
      <c r="C95" s="864">
        <f>(160345-84137)/(10^7)</f>
        <v>7.6207999999999996E-3</v>
      </c>
      <c r="D95" s="864"/>
      <c r="E95" s="865">
        <f t="shared" si="73"/>
        <v>7.6207999999999996E-3</v>
      </c>
      <c r="F95" s="865"/>
      <c r="G95" s="865"/>
      <c r="H95" s="865">
        <f t="shared" si="74"/>
        <v>7.6207999999999996E-3</v>
      </c>
      <c r="I95" s="865">
        <f t="shared" si="71"/>
        <v>7.6207999999999996E-3</v>
      </c>
      <c r="J95" s="837"/>
      <c r="K95" s="858">
        <v>0.15</v>
      </c>
      <c r="L95" s="45"/>
      <c r="M95" s="45"/>
      <c r="N95" s="45"/>
      <c r="O95" s="45"/>
      <c r="P95" s="45"/>
      <c r="Q95" s="870"/>
      <c r="R95" s="871"/>
      <c r="S95" s="871"/>
      <c r="T95" s="868">
        <f>36168/10^7-T92</f>
        <v>-2.9468649999999999E-3</v>
      </c>
      <c r="U95" s="869">
        <f>$I95*VLOOKUP(U$33,$B$84:$K$106,10,FALSE)</f>
        <v>1.1431199999999999E-3</v>
      </c>
      <c r="V95" s="869">
        <f>$I95*VLOOKUP(V$33,$B$84:$K$106,10,FALSE)</f>
        <v>1.1431199999999999E-3</v>
      </c>
      <c r="W95" s="869">
        <f>$I95*VLOOKUP(W$33,$B$84:$K$106,10,FALSE)</f>
        <v>1.1431199999999999E-3</v>
      </c>
      <c r="X95" s="869">
        <f>$I95*VLOOKUP(X$33,$B$84:$K$106,10,FALSE)</f>
        <v>1.1431199999999999E-3</v>
      </c>
      <c r="Y95" s="869">
        <f>SUM($I95*90%-SUM($R95:$X95))/8</f>
        <v>6.5413812500000001E-4</v>
      </c>
      <c r="Z95" s="869">
        <f>SUM($I95*90%-SUM($S95:$Y95))/9</f>
        <v>5.0877409722222217E-4</v>
      </c>
      <c r="AA95" s="869">
        <f t="shared" ref="AA95:AE95" si="78">SUM($I95*90%-SUM($S95:$Y95))/9</f>
        <v>5.0877409722222217E-4</v>
      </c>
      <c r="AB95" s="869">
        <f t="shared" si="78"/>
        <v>5.0877409722222217E-4</v>
      </c>
      <c r="AC95" s="869">
        <f t="shared" si="78"/>
        <v>5.0877409722222217E-4</v>
      </c>
      <c r="AD95" s="869">
        <f t="shared" si="78"/>
        <v>5.0877409722222217E-4</v>
      </c>
      <c r="AE95" s="869">
        <f t="shared" si="78"/>
        <v>5.0877409722222217E-4</v>
      </c>
      <c r="AF95" s="859"/>
      <c r="AG95" s="842">
        <f t="shared" si="76"/>
        <v>0.69971626447792001</v>
      </c>
      <c r="AH95" s="859">
        <f t="shared" si="77"/>
        <v>2.2884022916666667E-3</v>
      </c>
    </row>
    <row r="96" spans="1:34">
      <c r="A96" s="850" t="s">
        <v>229</v>
      </c>
      <c r="B96" s="851" t="s">
        <v>599</v>
      </c>
      <c r="C96" s="864">
        <f>69063/(10^7)</f>
        <v>6.9062999999999998E-3</v>
      </c>
      <c r="D96" s="864"/>
      <c r="E96" s="865">
        <f t="shared" si="73"/>
        <v>6.9062999999999998E-3</v>
      </c>
      <c r="F96" s="865"/>
      <c r="G96" s="865"/>
      <c r="H96" s="865">
        <f t="shared" si="74"/>
        <v>6.9062999999999998E-3</v>
      </c>
      <c r="I96" s="865">
        <f t="shared" si="71"/>
        <v>6.9062999999999998E-3</v>
      </c>
      <c r="J96" s="837"/>
      <c r="K96" s="858">
        <v>0.15</v>
      </c>
      <c r="L96" s="45"/>
      <c r="M96" s="45"/>
      <c r="N96" s="45"/>
      <c r="O96" s="45"/>
      <c r="P96" s="45"/>
      <c r="Q96" s="870"/>
      <c r="R96" s="871"/>
      <c r="S96" s="871"/>
      <c r="T96" s="871"/>
      <c r="U96" s="868">
        <f ca="1">35441/10^7-U92-U95</f>
        <v>2.0266877472857143E-3</v>
      </c>
      <c r="V96" s="869">
        <f>$I96*VLOOKUP(V$33,$B$84:$K$106,10,FALSE)</f>
        <v>1.0359449999999999E-3</v>
      </c>
      <c r="W96" s="869">
        <f>$I96*VLOOKUP(W$33,$B$84:$K$106,10,FALSE)</f>
        <v>1.0359449999999999E-3</v>
      </c>
      <c r="X96" s="869">
        <f>$I96*VLOOKUP(X$33,$B$84:$K$106,10,FALSE)</f>
        <v>1.0359449999999999E-3</v>
      </c>
      <c r="Y96" s="869">
        <f>$I96*VLOOKUP(Y$33,$B$84:$K$106,10,FALSE)</f>
        <v>1.0359449999999999E-3</v>
      </c>
      <c r="Z96" s="869">
        <f ca="1">SUM($I96*90%-SUM($S96:$Y96))/10</f>
        <v>4.5202252714285523E-6</v>
      </c>
      <c r="AA96" s="869">
        <f t="shared" ref="AA96:AE96" ca="1" si="79">SUM($I96*90%-SUM($S96:$Y96))/10</f>
        <v>4.5202252714285523E-6</v>
      </c>
      <c r="AB96" s="869">
        <f t="shared" ca="1" si="79"/>
        <v>4.5202252714285523E-6</v>
      </c>
      <c r="AC96" s="869">
        <f t="shared" ca="1" si="79"/>
        <v>4.5202252714285523E-6</v>
      </c>
      <c r="AD96" s="869">
        <f t="shared" ca="1" si="79"/>
        <v>4.5202252714285523E-6</v>
      </c>
      <c r="AE96" s="869">
        <f t="shared" ca="1" si="79"/>
        <v>4.5202252714285523E-6</v>
      </c>
      <c r="AF96" s="859"/>
      <c r="AG96" s="842">
        <f t="shared" ca="1" si="76"/>
        <v>0.89738196992807784</v>
      </c>
      <c r="AH96" s="859">
        <f t="shared" ca="1" si="77"/>
        <v>7.0871090108571601E-4</v>
      </c>
    </row>
    <row r="97" spans="1:34">
      <c r="A97" s="850" t="s">
        <v>229</v>
      </c>
      <c r="B97" s="851" t="s">
        <v>600</v>
      </c>
      <c r="C97" s="864">
        <f>39558/(10^7)</f>
        <v>3.9557999999999998E-3</v>
      </c>
      <c r="D97" s="864"/>
      <c r="E97" s="865">
        <f t="shared" si="73"/>
        <v>3.9557999999999998E-3</v>
      </c>
      <c r="F97" s="865"/>
      <c r="G97" s="865"/>
      <c r="H97" s="865">
        <f t="shared" si="74"/>
        <v>3.9557999999999998E-3</v>
      </c>
      <c r="I97" s="865">
        <f t="shared" si="71"/>
        <v>3.9557999999999998E-3</v>
      </c>
      <c r="J97" s="837"/>
      <c r="K97" s="858">
        <v>0.15</v>
      </c>
      <c r="L97" s="45"/>
      <c r="M97" s="45"/>
      <c r="N97" s="45"/>
      <c r="O97" s="45"/>
      <c r="P97" s="45"/>
      <c r="Q97" s="870"/>
      <c r="R97" s="871"/>
      <c r="S97" s="871"/>
      <c r="T97" s="871"/>
      <c r="U97" s="871"/>
      <c r="V97" s="868">
        <f>$H97*VLOOKUP(V$33,$B$84:$K$106,10,FALSE)/2</f>
        <v>2.9668499999999998E-4</v>
      </c>
      <c r="W97" s="869">
        <f>$I97*VLOOKUP(W$33,$B$84:$K$106,10,FALSE)</f>
        <v>5.9336999999999997E-4</v>
      </c>
      <c r="X97" s="869">
        <f>$I97*VLOOKUP(X$33,$B$84:$K$106,10,FALSE)</f>
        <v>5.9336999999999997E-4</v>
      </c>
      <c r="Y97" s="869">
        <f>$I97*VLOOKUP(Y$33,$B$84:$K$106,10,FALSE)</f>
        <v>5.9336999999999997E-4</v>
      </c>
      <c r="Z97" s="869">
        <f>$I97*VLOOKUP(Z$33,$B$84:$K$106,10,FALSE)</f>
        <v>5.9336999999999997E-4</v>
      </c>
      <c r="AA97" s="869">
        <f ca="1">SUM($I97*90%-SUM($U97:$AA97))/10</f>
        <v>8.0914090909090875E-5</v>
      </c>
      <c r="AB97" s="869">
        <f t="shared" ref="AB97:AE98" ca="1" si="80">SUM($I97*90%-SUM($U97:$AA97))/10</f>
        <v>8.0914090909090875E-5</v>
      </c>
      <c r="AC97" s="869">
        <f t="shared" ca="1" si="80"/>
        <v>8.0914090909090875E-5</v>
      </c>
      <c r="AD97" s="869">
        <f t="shared" ca="1" si="80"/>
        <v>8.0914090909090875E-5</v>
      </c>
      <c r="AE97" s="869">
        <f t="shared" ca="1" si="80"/>
        <v>8.0914090909090875E-5</v>
      </c>
      <c r="AF97" s="859"/>
      <c r="AG97" s="842">
        <f t="shared" ca="1" si="76"/>
        <v>0.77727272727272712</v>
      </c>
      <c r="AH97" s="859">
        <f t="shared" ca="1" si="77"/>
        <v>8.8106454545454609E-4</v>
      </c>
    </row>
    <row r="98" spans="1:34">
      <c r="A98" s="850" t="s">
        <v>229</v>
      </c>
      <c r="B98" s="851" t="s">
        <v>601</v>
      </c>
      <c r="C98" s="864">
        <f>(74562-16550)/(10^7)</f>
        <v>5.8012000000000003E-3</v>
      </c>
      <c r="D98" s="864"/>
      <c r="E98" s="865">
        <f t="shared" si="73"/>
        <v>5.8012000000000003E-3</v>
      </c>
      <c r="F98" s="865"/>
      <c r="G98" s="865"/>
      <c r="H98" s="865">
        <f t="shared" si="74"/>
        <v>5.8012000000000003E-3</v>
      </c>
      <c r="I98" s="865">
        <f t="shared" si="71"/>
        <v>5.8012000000000003E-3</v>
      </c>
      <c r="J98" s="837"/>
      <c r="K98" s="858">
        <v>0.15</v>
      </c>
      <c r="L98" s="45"/>
      <c r="M98" s="45"/>
      <c r="N98" s="45"/>
      <c r="O98" s="45"/>
      <c r="P98" s="45"/>
      <c r="Q98" s="870"/>
      <c r="R98" s="871"/>
      <c r="S98" s="871"/>
      <c r="T98" s="871"/>
      <c r="U98" s="871"/>
      <c r="V98" s="871"/>
      <c r="W98" s="868">
        <f>$H98*VLOOKUP(W$33,$B$84:$K$106,10,FALSE)/2</f>
        <v>4.3509000000000001E-4</v>
      </c>
      <c r="X98" s="869">
        <f>$I98*VLOOKUP(X$33,$B$84:$K$106,10,FALSE)</f>
        <v>8.7018000000000002E-4</v>
      </c>
      <c r="Y98" s="869">
        <f>$I98*VLOOKUP(Y$33,$B$84:$K$106,10,FALSE)</f>
        <v>8.7018000000000002E-4</v>
      </c>
      <c r="Z98" s="869">
        <f>$I98*VLOOKUP(Z$33,$B$84:$K$106,10,FALSE)</f>
        <v>8.7018000000000002E-4</v>
      </c>
      <c r="AA98" s="869">
        <f>$I98*VLOOKUP(AA$33,$B$84:$K$106,10,FALSE)</f>
        <v>8.7018000000000002E-4</v>
      </c>
      <c r="AB98" s="869">
        <f>SUM($I98*90%-SUM($U98:$AA98))/10</f>
        <v>1.3052699999999999E-4</v>
      </c>
      <c r="AC98" s="869">
        <f t="shared" si="80"/>
        <v>1.3052699999999999E-4</v>
      </c>
      <c r="AD98" s="869">
        <f t="shared" si="80"/>
        <v>1.3052699999999999E-4</v>
      </c>
      <c r="AE98" s="869">
        <f t="shared" si="80"/>
        <v>1.3052699999999999E-4</v>
      </c>
      <c r="AF98" s="859"/>
      <c r="AG98" s="842">
        <f t="shared" si="76"/>
        <v>0.76500000000000012</v>
      </c>
      <c r="AH98" s="859">
        <f t="shared" si="77"/>
        <v>1.3632819999999995E-3</v>
      </c>
    </row>
    <row r="99" spans="1:34">
      <c r="A99" s="850" t="s">
        <v>229</v>
      </c>
      <c r="B99" s="851" t="s">
        <v>602</v>
      </c>
      <c r="C99" s="864">
        <f>77599/(10^7)</f>
        <v>7.7599000000000001E-3</v>
      </c>
      <c r="D99" s="864"/>
      <c r="E99" s="865">
        <f t="shared" si="73"/>
        <v>7.7599000000000001E-3</v>
      </c>
      <c r="F99" s="865"/>
      <c r="G99" s="865"/>
      <c r="H99" s="865">
        <f t="shared" si="74"/>
        <v>7.7599000000000001E-3</v>
      </c>
      <c r="I99" s="865">
        <f>H99</f>
        <v>7.7599000000000001E-3</v>
      </c>
      <c r="J99" s="837"/>
      <c r="K99" s="858">
        <v>0.15</v>
      </c>
      <c r="L99" s="45"/>
      <c r="M99" s="45"/>
      <c r="N99" s="45"/>
      <c r="O99" s="45"/>
      <c r="P99" s="45"/>
      <c r="Q99" s="870"/>
      <c r="R99" s="871"/>
      <c r="S99" s="871"/>
      <c r="T99" s="871"/>
      <c r="U99" s="871"/>
      <c r="V99" s="871"/>
      <c r="W99" s="871"/>
      <c r="X99" s="868">
        <f>$H99*VLOOKUP(X$33,$B$84:$K$106,10,FALSE)/2</f>
        <v>5.8199249999999999E-4</v>
      </c>
      <c r="Y99" s="869">
        <f>$I99*VLOOKUP(Y$33,$B$84:$K$106,10,FALSE)</f>
        <v>1.163985E-3</v>
      </c>
      <c r="Z99" s="869">
        <f>$I99*VLOOKUP(Z$33,$B$84:$K$106,10,FALSE)</f>
        <v>1.163985E-3</v>
      </c>
      <c r="AA99" s="869">
        <f>$I99*VLOOKUP(AA$33,$B$84:$K$106,10,FALSE)</f>
        <v>1.163985E-3</v>
      </c>
      <c r="AB99" s="869">
        <f>$I99*VLOOKUP(AB$33,$B$84:$K$106,10,FALSE)</f>
        <v>1.163985E-3</v>
      </c>
      <c r="AC99" s="869">
        <f>SUM($I99*90%-SUM($V99:$AB99))/11</f>
        <v>1.5872522727272727E-4</v>
      </c>
      <c r="AD99" s="869">
        <f t="shared" ref="AD99:AE101" si="81">SUM($I99*90%-SUM($V99:$AB99))/11</f>
        <v>1.5872522727272727E-4</v>
      </c>
      <c r="AE99" s="869">
        <f t="shared" si="81"/>
        <v>1.5872522727272727E-4</v>
      </c>
      <c r="AF99" s="859"/>
      <c r="AG99" s="842">
        <f t="shared" si="76"/>
        <v>0.73636363636363622</v>
      </c>
      <c r="AH99" s="859">
        <f t="shared" si="77"/>
        <v>2.0457918181818191E-3</v>
      </c>
    </row>
    <row r="100" spans="1:34">
      <c r="A100" s="850" t="s">
        <v>229</v>
      </c>
      <c r="B100" s="851" t="s">
        <v>603</v>
      </c>
      <c r="C100" s="864">
        <f>'F4'!J18</f>
        <v>0</v>
      </c>
      <c r="D100" s="865"/>
      <c r="E100" s="865">
        <f t="shared" si="73"/>
        <v>0</v>
      </c>
      <c r="F100" s="865"/>
      <c r="G100" s="865"/>
      <c r="H100" s="865">
        <f t="shared" si="74"/>
        <v>0</v>
      </c>
      <c r="I100" s="865">
        <f>H100</f>
        <v>0</v>
      </c>
      <c r="J100" s="837"/>
      <c r="K100" s="858">
        <v>0.15</v>
      </c>
      <c r="L100" s="45"/>
      <c r="M100" s="45"/>
      <c r="N100" s="45"/>
      <c r="O100" s="45"/>
      <c r="P100" s="45"/>
      <c r="Q100" s="870"/>
      <c r="R100" s="871"/>
      <c r="S100" s="871"/>
      <c r="T100" s="871"/>
      <c r="U100" s="871"/>
      <c r="V100" s="871"/>
      <c r="W100" s="871"/>
      <c r="X100" s="871"/>
      <c r="Y100" s="868">
        <f>$H100*VLOOKUP(Y$33,$B$84:$K$106,10,FALSE)/2</f>
        <v>0</v>
      </c>
      <c r="Z100" s="869">
        <f t="shared" ref="Z100:AE100" si="82">$I100*VLOOKUP(Z$33,$B$84:$K$106,10,FALSE)</f>
        <v>0</v>
      </c>
      <c r="AA100" s="869">
        <f t="shared" si="82"/>
        <v>0</v>
      </c>
      <c r="AB100" s="869">
        <f t="shared" si="82"/>
        <v>0</v>
      </c>
      <c r="AC100" s="869">
        <f t="shared" si="82"/>
        <v>0</v>
      </c>
      <c r="AD100" s="869">
        <f t="shared" si="82"/>
        <v>0</v>
      </c>
      <c r="AE100" s="869">
        <f t="shared" si="82"/>
        <v>0</v>
      </c>
      <c r="AF100" s="859"/>
      <c r="AG100" s="842">
        <f t="shared" si="76"/>
        <v>0</v>
      </c>
      <c r="AH100" s="859">
        <f t="shared" si="77"/>
        <v>0</v>
      </c>
    </row>
    <row r="101" spans="1:34">
      <c r="A101" s="850" t="s">
        <v>229</v>
      </c>
      <c r="B101" s="851" t="s">
        <v>607</v>
      </c>
      <c r="C101" s="865">
        <f>'F4'!O18</f>
        <v>0.01</v>
      </c>
      <c r="D101" s="865"/>
      <c r="E101" s="865">
        <f t="shared" si="73"/>
        <v>0.01</v>
      </c>
      <c r="F101" s="865"/>
      <c r="G101" s="865"/>
      <c r="H101" s="865">
        <f t="shared" si="74"/>
        <v>0.01</v>
      </c>
      <c r="I101" s="865">
        <f t="shared" ref="I101:I106" si="83">H101</f>
        <v>0.01</v>
      </c>
      <c r="J101" s="837"/>
      <c r="K101" s="858">
        <v>0.15</v>
      </c>
      <c r="L101" s="45"/>
      <c r="M101" s="45"/>
      <c r="N101" s="45"/>
      <c r="O101" s="45"/>
      <c r="P101" s="45"/>
      <c r="Q101" s="870"/>
      <c r="R101" s="871"/>
      <c r="S101" s="871"/>
      <c r="T101" s="871"/>
      <c r="U101" s="871"/>
      <c r="V101" s="871"/>
      <c r="W101" s="871"/>
      <c r="X101" s="871"/>
      <c r="Y101" s="871"/>
      <c r="Z101" s="868">
        <f>$H101*VLOOKUP(Z$33,$B$84:$K$106,10,FALSE)/2</f>
        <v>7.5000000000000002E-4</v>
      </c>
      <c r="AA101" s="869">
        <f>$I101*VLOOKUP(AA$33,$B$84:$K$106,10,FALSE)</f>
        <v>1.5E-3</v>
      </c>
      <c r="AB101" s="869">
        <f>$I101*VLOOKUP(AB$33,$B$84:$K$106,10,FALSE)</f>
        <v>1.5E-3</v>
      </c>
      <c r="AC101" s="869">
        <f>$I101*VLOOKUP(AC$33,$B$84:$K$106,10,FALSE)</f>
        <v>1.5E-3</v>
      </c>
      <c r="AD101" s="869">
        <f>$I101*VLOOKUP(AD$33,$B$84:$K$106,10,FALSE)</f>
        <v>1.5E-3</v>
      </c>
      <c r="AE101" s="869">
        <f t="shared" si="81"/>
        <v>4.7727272727272739E-4</v>
      </c>
      <c r="AF101" s="859"/>
      <c r="AG101" s="842">
        <f t="shared" si="76"/>
        <v>0.72272727272727277</v>
      </c>
      <c r="AH101" s="859">
        <f t="shared" si="77"/>
        <v>2.7727272727272722E-3</v>
      </c>
    </row>
    <row r="102" spans="1:34">
      <c r="A102" s="850" t="s">
        <v>229</v>
      </c>
      <c r="B102" s="851" t="s">
        <v>608</v>
      </c>
      <c r="C102" s="865">
        <f>'F4'!T18</f>
        <v>0.01</v>
      </c>
      <c r="D102" s="865"/>
      <c r="E102" s="865">
        <f t="shared" si="73"/>
        <v>0.01</v>
      </c>
      <c r="F102" s="865"/>
      <c r="G102" s="865"/>
      <c r="H102" s="865">
        <f t="shared" si="74"/>
        <v>0.01</v>
      </c>
      <c r="I102" s="865">
        <f t="shared" si="83"/>
        <v>0.01</v>
      </c>
      <c r="J102" s="837"/>
      <c r="K102" s="858">
        <v>0.15</v>
      </c>
      <c r="L102" s="45"/>
      <c r="M102" s="45"/>
      <c r="N102" s="45"/>
      <c r="O102" s="45"/>
      <c r="P102" s="45"/>
      <c r="Q102" s="870"/>
      <c r="R102" s="871"/>
      <c r="S102" s="871"/>
      <c r="T102" s="871"/>
      <c r="U102" s="871"/>
      <c r="V102" s="871"/>
      <c r="W102" s="871"/>
      <c r="X102" s="871"/>
      <c r="Y102" s="871"/>
      <c r="Z102" s="871"/>
      <c r="AA102" s="868">
        <f>$H102*VLOOKUP(AA$33,$B$84:$K$106,10,FALSE)/2</f>
        <v>7.5000000000000002E-4</v>
      </c>
      <c r="AB102" s="869">
        <f>$I102*VLOOKUP(AB$33,$B$84:$K$106,10,FALSE)</f>
        <v>1.5E-3</v>
      </c>
      <c r="AC102" s="869">
        <f>$I102*VLOOKUP(AC$33,$B$84:$K$106,10,FALSE)</f>
        <v>1.5E-3</v>
      </c>
      <c r="AD102" s="869">
        <f>$I102*VLOOKUP(AD$33,$B$84:$K$106,10,FALSE)</f>
        <v>1.5E-3</v>
      </c>
      <c r="AE102" s="869">
        <f>$I102*VLOOKUP(AE$33,$B$84:$K$106,10,FALSE)</f>
        <v>1.5E-3</v>
      </c>
      <c r="AF102" s="859"/>
      <c r="AG102" s="842">
        <f t="shared" si="76"/>
        <v>0.67500000000000004</v>
      </c>
      <c r="AH102" s="859">
        <f t="shared" si="77"/>
        <v>3.2499999999999994E-3</v>
      </c>
    </row>
    <row r="103" spans="1:34">
      <c r="A103" s="850" t="s">
        <v>229</v>
      </c>
      <c r="B103" s="851" t="s">
        <v>609</v>
      </c>
      <c r="C103" s="865">
        <f>'F4'!E34</f>
        <v>0.01</v>
      </c>
      <c r="D103" s="865"/>
      <c r="E103" s="865">
        <f t="shared" si="73"/>
        <v>0.01</v>
      </c>
      <c r="F103" s="865"/>
      <c r="G103" s="865"/>
      <c r="H103" s="865">
        <f t="shared" si="74"/>
        <v>0.01</v>
      </c>
      <c r="I103" s="865">
        <f t="shared" si="83"/>
        <v>0.01</v>
      </c>
      <c r="J103" s="837"/>
      <c r="K103" s="858">
        <v>0.15</v>
      </c>
      <c r="L103" s="45"/>
      <c r="M103" s="45"/>
      <c r="N103" s="45"/>
      <c r="O103" s="45"/>
      <c r="P103" s="45"/>
      <c r="Q103" s="870"/>
      <c r="R103" s="871"/>
      <c r="S103" s="871"/>
      <c r="T103" s="871"/>
      <c r="U103" s="871"/>
      <c r="V103" s="871"/>
      <c r="W103" s="871"/>
      <c r="X103" s="871"/>
      <c r="Y103" s="871"/>
      <c r="Z103" s="871"/>
      <c r="AA103" s="871"/>
      <c r="AB103" s="868">
        <f>$H103*VLOOKUP(AB$33,$B$84:$K$106,10,FALSE)/2</f>
        <v>7.5000000000000002E-4</v>
      </c>
      <c r="AC103" s="869">
        <f>$I103*VLOOKUP(AC$33,$B$84:$K$106,10,FALSE)</f>
        <v>1.5E-3</v>
      </c>
      <c r="AD103" s="869">
        <f>$I103*VLOOKUP(AD$33,$B$84:$K$106,10,FALSE)</f>
        <v>1.5E-3</v>
      </c>
      <c r="AE103" s="869">
        <f>$I103*VLOOKUP(AE$33,$B$84:$K$106,10,FALSE)</f>
        <v>1.5E-3</v>
      </c>
      <c r="AF103" s="859"/>
      <c r="AG103" s="842">
        <f t="shared" si="76"/>
        <v>0.52500000000000002</v>
      </c>
      <c r="AH103" s="859">
        <f t="shared" si="77"/>
        <v>4.7499999999999999E-3</v>
      </c>
    </row>
    <row r="104" spans="1:34">
      <c r="A104" s="850" t="s">
        <v>229</v>
      </c>
      <c r="B104" s="851" t="s">
        <v>610</v>
      </c>
      <c r="C104" s="865">
        <f>'F4'!J34</f>
        <v>0.01</v>
      </c>
      <c r="D104" s="865"/>
      <c r="E104" s="865">
        <f t="shared" si="73"/>
        <v>0.01</v>
      </c>
      <c r="F104" s="865"/>
      <c r="G104" s="865"/>
      <c r="H104" s="865">
        <f t="shared" si="74"/>
        <v>0.01</v>
      </c>
      <c r="I104" s="865">
        <f t="shared" si="83"/>
        <v>0.01</v>
      </c>
      <c r="J104" s="837"/>
      <c r="K104" s="858">
        <v>0.15</v>
      </c>
      <c r="L104" s="45"/>
      <c r="M104" s="45"/>
      <c r="N104" s="45"/>
      <c r="O104" s="45"/>
      <c r="P104" s="45"/>
      <c r="Q104" s="870"/>
      <c r="R104" s="871"/>
      <c r="S104" s="871"/>
      <c r="T104" s="871"/>
      <c r="U104" s="871"/>
      <c r="V104" s="871"/>
      <c r="W104" s="871"/>
      <c r="X104" s="871"/>
      <c r="Y104" s="871"/>
      <c r="Z104" s="871"/>
      <c r="AA104" s="871"/>
      <c r="AB104" s="871"/>
      <c r="AC104" s="868">
        <f>$H104*VLOOKUP(AC$33,$B$84:$K$106,10,FALSE)/2</f>
        <v>7.5000000000000002E-4</v>
      </c>
      <c r="AD104" s="869">
        <f>$I104*VLOOKUP(AD$33,$B$84:$K$106,10,FALSE)</f>
        <v>1.5E-3</v>
      </c>
      <c r="AE104" s="869">
        <f>$I104*VLOOKUP(AE$33,$B$84:$K$106,10,FALSE)</f>
        <v>1.5E-3</v>
      </c>
      <c r="AF104" s="859"/>
      <c r="AG104" s="842">
        <f t="shared" si="76"/>
        <v>0.375</v>
      </c>
      <c r="AH104" s="859">
        <f t="shared" si="77"/>
        <v>6.2500000000000003E-3</v>
      </c>
    </row>
    <row r="105" spans="1:34">
      <c r="A105" s="850" t="s">
        <v>229</v>
      </c>
      <c r="B105" s="851" t="s">
        <v>611</v>
      </c>
      <c r="C105" s="865">
        <f>'F4'!O34</f>
        <v>0.01</v>
      </c>
      <c r="D105" s="865"/>
      <c r="E105" s="865">
        <f t="shared" si="73"/>
        <v>0.01</v>
      </c>
      <c r="F105" s="865"/>
      <c r="G105" s="865"/>
      <c r="H105" s="865">
        <f t="shared" si="74"/>
        <v>0.01</v>
      </c>
      <c r="I105" s="865">
        <f t="shared" si="83"/>
        <v>0.01</v>
      </c>
      <c r="J105" s="837"/>
      <c r="K105" s="858">
        <v>0.15</v>
      </c>
      <c r="L105" s="45"/>
      <c r="M105" s="45"/>
      <c r="N105" s="45"/>
      <c r="O105" s="45"/>
      <c r="P105" s="45"/>
      <c r="Q105" s="870"/>
      <c r="R105" s="871"/>
      <c r="S105" s="871"/>
      <c r="T105" s="871"/>
      <c r="U105" s="871"/>
      <c r="V105" s="871"/>
      <c r="W105" s="871"/>
      <c r="X105" s="871"/>
      <c r="Y105" s="871"/>
      <c r="Z105" s="871"/>
      <c r="AA105" s="871"/>
      <c r="AB105" s="871"/>
      <c r="AC105" s="871"/>
      <c r="AD105" s="868">
        <f>$H105*VLOOKUP(AD$33,$B$84:$K$106,10,FALSE)/2</f>
        <v>7.5000000000000002E-4</v>
      </c>
      <c r="AE105" s="869">
        <f>$I105*VLOOKUP(AE$33,$B$84:$K$106,10,FALSE)</f>
        <v>1.5E-3</v>
      </c>
      <c r="AF105" s="859"/>
      <c r="AG105" s="842">
        <f t="shared" si="76"/>
        <v>0.22500000000000003</v>
      </c>
      <c r="AH105" s="859">
        <f t="shared" si="77"/>
        <v>7.7499999999999999E-3</v>
      </c>
    </row>
    <row r="106" spans="1:34">
      <c r="A106" s="850" t="s">
        <v>229</v>
      </c>
      <c r="B106" s="851" t="s">
        <v>612</v>
      </c>
      <c r="C106" s="865">
        <f>'F4'!T34</f>
        <v>0.01</v>
      </c>
      <c r="D106" s="865"/>
      <c r="E106" s="865">
        <f t="shared" si="73"/>
        <v>0.01</v>
      </c>
      <c r="F106" s="865"/>
      <c r="G106" s="865"/>
      <c r="H106" s="865">
        <f t="shared" si="74"/>
        <v>0.01</v>
      </c>
      <c r="I106" s="865">
        <f t="shared" si="83"/>
        <v>0.01</v>
      </c>
      <c r="J106" s="837"/>
      <c r="K106" s="858">
        <v>0.15</v>
      </c>
      <c r="L106" s="45"/>
      <c r="M106" s="45"/>
      <c r="N106" s="45"/>
      <c r="O106" s="45"/>
      <c r="P106" s="45"/>
      <c r="Q106" s="870"/>
      <c r="R106" s="871"/>
      <c r="S106" s="871"/>
      <c r="T106" s="871"/>
      <c r="U106" s="871"/>
      <c r="V106" s="871"/>
      <c r="W106" s="871"/>
      <c r="X106" s="871"/>
      <c r="Y106" s="871"/>
      <c r="Z106" s="871"/>
      <c r="AA106" s="871"/>
      <c r="AB106" s="871"/>
      <c r="AC106" s="871"/>
      <c r="AD106" s="871"/>
      <c r="AE106" s="868">
        <f>$H106*VLOOKUP(AE$33,$B$84:$K$106,10,FALSE)/2</f>
        <v>7.5000000000000002E-4</v>
      </c>
      <c r="AF106" s="859"/>
      <c r="AG106" s="842">
        <f t="shared" si="76"/>
        <v>7.4999999999999997E-2</v>
      </c>
      <c r="AH106" s="859">
        <f t="shared" si="77"/>
        <v>9.2499999999999995E-3</v>
      </c>
    </row>
    <row r="107" spans="1:34">
      <c r="A107" s="853" t="s">
        <v>613</v>
      </c>
      <c r="B107" s="854" t="s">
        <v>23</v>
      </c>
      <c r="C107" s="866">
        <f>SUM(C92:C106)</f>
        <v>0.10923109999999998</v>
      </c>
      <c r="D107" s="866">
        <f>SUM(D92:D106)</f>
        <v>0</v>
      </c>
      <c r="E107" s="866">
        <f>SUM(E92:E106)</f>
        <v>0.10923109999999998</v>
      </c>
      <c r="F107" s="866">
        <f t="shared" ref="F107:J107" si="84">SUM(F92:F106)</f>
        <v>0</v>
      </c>
      <c r="G107" s="866">
        <f t="shared" si="84"/>
        <v>0</v>
      </c>
      <c r="H107" s="866">
        <f t="shared" si="84"/>
        <v>0.10923109999999998</v>
      </c>
      <c r="I107" s="866">
        <f t="shared" si="84"/>
        <v>0.10923109999999998</v>
      </c>
      <c r="J107" s="855">
        <f t="shared" si="84"/>
        <v>0</v>
      </c>
      <c r="K107" s="855"/>
      <c r="L107" s="855">
        <f t="shared" ref="L107:P107" si="85">SUM(L92:L106)</f>
        <v>0</v>
      </c>
      <c r="M107" s="855">
        <f t="shared" si="85"/>
        <v>0</v>
      </c>
      <c r="N107" s="855">
        <f t="shared" si="85"/>
        <v>0</v>
      </c>
      <c r="O107" s="855">
        <f t="shared" si="85"/>
        <v>0</v>
      </c>
      <c r="P107" s="855">
        <f t="shared" si="85"/>
        <v>0</v>
      </c>
      <c r="Q107" s="872">
        <f>SUM(Q86:Q106)</f>
        <v>6.4485999199999995E-4</v>
      </c>
      <c r="R107" s="872">
        <f t="shared" ref="R107" si="86">SUM(R86:R106)</f>
        <v>4.4170847000000004E-4</v>
      </c>
      <c r="S107" s="872">
        <f t="shared" ref="S107" si="87">SUM(S86:S106)</f>
        <v>2.578065E-3</v>
      </c>
      <c r="T107" s="872">
        <f t="shared" ref="T107" si="88">SUM(T86:T106)</f>
        <v>3.6167999999999999E-3</v>
      </c>
      <c r="U107" s="872">
        <f t="shared" ref="U107" ca="1" si="89">SUM(U86:U106)</f>
        <v>3.5441000000000001E-3</v>
      </c>
      <c r="V107" s="872">
        <f t="shared" ref="V107" ca="1" si="90">SUM(V86:V106)</f>
        <v>2.8500422527142858E-3</v>
      </c>
      <c r="W107" s="872">
        <f t="shared" ref="W107" ca="1" si="91">SUM(W86:W106)</f>
        <v>3.5818172527142854E-3</v>
      </c>
      <c r="X107" s="872">
        <f t="shared" ref="X107" ca="1" si="92">SUM(X86:X106)</f>
        <v>4.598899752714285E-3</v>
      </c>
      <c r="Y107" s="872">
        <f t="shared" ref="Y107" ca="1" si="93">SUM(Y86:Y106)</f>
        <v>4.6919103777142857E-3</v>
      </c>
      <c r="Z107" s="872">
        <f t="shared" ref="Z107" ca="1" si="94">SUM(Z86:Z106)</f>
        <v>4.2651215752079362E-3</v>
      </c>
      <c r="AA107" s="872">
        <f t="shared" ref="AA107" ca="1" si="95">SUM(AA86:AA106)</f>
        <v>5.2526656661170271E-3</v>
      </c>
      <c r="AB107" s="872">
        <f t="shared" ref="AB107" ca="1" si="96">SUM(AB86:AB106)</f>
        <v>6.0130126661170269E-3</v>
      </c>
      <c r="AC107" s="872">
        <f t="shared" ref="AC107" ca="1" si="97">SUM(AC86:AC106)</f>
        <v>6.507752893389754E-3</v>
      </c>
      <c r="AD107" s="872">
        <f t="shared" ref="AD107" ca="1" si="98">SUM(AD86:AD106)</f>
        <v>8.0077528933897545E-3</v>
      </c>
      <c r="AE107" s="872">
        <f t="shared" ref="AE107" ca="1" si="99">SUM(AE86:AE106)</f>
        <v>8.4850256206624817E-3</v>
      </c>
      <c r="AF107" s="839">
        <f t="shared" ref="AF107" si="100">SUM(AF92:AF106)</f>
        <v>0</v>
      </c>
      <c r="AG107" s="839"/>
      <c r="AH107" s="839">
        <f t="shared" ref="AH107" ca="1" si="101">SUM(AH92:AH106)</f>
        <v>4.4151565587258884E-2</v>
      </c>
    </row>
    <row r="108" spans="1:34">
      <c r="H108" s="845">
        <f>'F4'!W34-H107</f>
        <v>0</v>
      </c>
      <c r="AE108" s="862"/>
    </row>
    <row r="109" spans="1:34">
      <c r="B109" s="844" t="str">
        <f>'F4'!C19</f>
        <v>Furniture and Fixtures</v>
      </c>
      <c r="L109" s="846" t="s">
        <v>33</v>
      </c>
    </row>
    <row r="110" spans="1:34" ht="30">
      <c r="A110" s="847"/>
      <c r="B110" s="857" t="s">
        <v>431</v>
      </c>
      <c r="C110" s="1221" t="s">
        <v>229</v>
      </c>
      <c r="D110" s="1221" t="s">
        <v>934</v>
      </c>
      <c r="E110" s="1221" t="s">
        <v>935</v>
      </c>
      <c r="F110" s="1221" t="s">
        <v>936</v>
      </c>
      <c r="G110" s="1221" t="s">
        <v>937</v>
      </c>
      <c r="H110" s="1221" t="s">
        <v>938</v>
      </c>
      <c r="I110" s="1221" t="s">
        <v>939</v>
      </c>
      <c r="J110" s="1223" t="s">
        <v>589</v>
      </c>
      <c r="K110" s="1223" t="s">
        <v>641</v>
      </c>
      <c r="L110" s="1226" t="s">
        <v>642</v>
      </c>
      <c r="M110" s="1226"/>
      <c r="N110" s="1226"/>
      <c r="O110" s="1226"/>
      <c r="P110" s="1226"/>
      <c r="Q110" s="1226"/>
      <c r="R110" s="1226"/>
      <c r="S110" s="1226"/>
      <c r="T110" s="1226"/>
      <c r="U110" s="1226"/>
      <c r="V110" s="1226"/>
      <c r="W110" s="1226"/>
      <c r="X110" s="1226"/>
      <c r="Y110" s="1226"/>
      <c r="Z110" s="1226"/>
      <c r="AA110" s="1226"/>
      <c r="AB110" s="1226"/>
      <c r="AC110" s="1226"/>
      <c r="AD110" s="1226"/>
      <c r="AE110" s="1226"/>
      <c r="AF110" s="848" t="s">
        <v>925</v>
      </c>
      <c r="AG110" s="848" t="s">
        <v>604</v>
      </c>
      <c r="AH110" s="848" t="s">
        <v>605</v>
      </c>
    </row>
    <row r="111" spans="1:34">
      <c r="A111" s="847"/>
      <c r="B111" s="857"/>
      <c r="C111" s="1222"/>
      <c r="D111" s="1222"/>
      <c r="E111" s="1222"/>
      <c r="F111" s="1222"/>
      <c r="G111" s="1222"/>
      <c r="H111" s="1222"/>
      <c r="I111" s="1227"/>
      <c r="J111" s="1224"/>
      <c r="K111" s="1224"/>
      <c r="L111" s="849" t="s">
        <v>590</v>
      </c>
      <c r="M111" s="849" t="s">
        <v>591</v>
      </c>
      <c r="N111" s="849" t="s">
        <v>592</v>
      </c>
      <c r="O111" s="849" t="s">
        <v>593</v>
      </c>
      <c r="P111" s="849" t="s">
        <v>594</v>
      </c>
      <c r="Q111" s="849" t="s">
        <v>595</v>
      </c>
      <c r="R111" s="849" t="s">
        <v>596</v>
      </c>
      <c r="S111" s="849" t="s">
        <v>597</v>
      </c>
      <c r="T111" s="849" t="s">
        <v>598</v>
      </c>
      <c r="U111" s="849" t="s">
        <v>599</v>
      </c>
      <c r="V111" s="849" t="s">
        <v>600</v>
      </c>
      <c r="W111" s="849" t="s">
        <v>601</v>
      </c>
      <c r="X111" s="849" t="s">
        <v>602</v>
      </c>
      <c r="Y111" s="849" t="s">
        <v>603</v>
      </c>
      <c r="Z111" s="849" t="s">
        <v>607</v>
      </c>
      <c r="AA111" s="849" t="s">
        <v>608</v>
      </c>
      <c r="AB111" s="849" t="s">
        <v>609</v>
      </c>
      <c r="AC111" s="849" t="s">
        <v>610</v>
      </c>
      <c r="AD111" s="849" t="s">
        <v>611</v>
      </c>
      <c r="AE111" s="849" t="s">
        <v>612</v>
      </c>
      <c r="AF111" s="848"/>
      <c r="AG111" s="848"/>
      <c r="AH111" s="848"/>
    </row>
    <row r="112" spans="1:34" ht="12.75" customHeight="1">
      <c r="A112" s="850" t="s">
        <v>606</v>
      </c>
      <c r="B112" s="851">
        <v>2005</v>
      </c>
      <c r="C112" s="852"/>
      <c r="D112" s="852"/>
      <c r="E112" s="852"/>
      <c r="F112" s="852"/>
      <c r="G112" s="852"/>
      <c r="H112" s="852"/>
      <c r="I112" s="852"/>
      <c r="J112" s="860"/>
      <c r="K112" s="861"/>
      <c r="L112" s="43"/>
      <c r="M112" s="43"/>
      <c r="N112" s="43"/>
      <c r="O112" s="43"/>
      <c r="P112" s="43"/>
      <c r="Q112" s="43"/>
      <c r="R112" s="43"/>
      <c r="S112" s="43"/>
      <c r="T112" s="43"/>
      <c r="U112" s="43"/>
      <c r="V112" s="43"/>
      <c r="W112" s="43"/>
      <c r="X112" s="43"/>
      <c r="Y112" s="43"/>
      <c r="Z112" s="43"/>
      <c r="AA112" s="43"/>
      <c r="AB112" s="43"/>
      <c r="AC112" s="43"/>
      <c r="AD112" s="43"/>
      <c r="AE112" s="43"/>
      <c r="AF112" s="859"/>
      <c r="AG112" s="859"/>
      <c r="AH112" s="859"/>
    </row>
    <row r="113" spans="1:34">
      <c r="A113" s="850" t="s">
        <v>229</v>
      </c>
      <c r="B113" s="851" t="s">
        <v>590</v>
      </c>
      <c r="C113" s="852"/>
      <c r="D113" s="852"/>
      <c r="E113" s="852"/>
      <c r="F113" s="852"/>
      <c r="G113" s="852"/>
      <c r="H113" s="852"/>
      <c r="I113" s="852"/>
      <c r="J113" s="860"/>
      <c r="K113" s="861"/>
      <c r="L113" s="44"/>
      <c r="M113" s="43"/>
      <c r="N113" s="43"/>
      <c r="O113" s="43"/>
      <c r="P113" s="43"/>
      <c r="Q113" s="43"/>
      <c r="R113" s="43"/>
      <c r="S113" s="43"/>
      <c r="T113" s="43"/>
      <c r="U113" s="43"/>
      <c r="V113" s="43"/>
      <c r="W113" s="43"/>
      <c r="X113" s="43"/>
      <c r="Y113" s="43"/>
      <c r="Z113" s="43"/>
      <c r="AA113" s="43"/>
      <c r="AB113" s="43"/>
      <c r="AC113" s="43"/>
      <c r="AD113" s="43"/>
      <c r="AE113" s="43"/>
      <c r="AF113" s="859"/>
      <c r="AG113" s="859"/>
      <c r="AH113" s="859"/>
    </row>
    <row r="114" spans="1:34">
      <c r="A114" s="850" t="s">
        <v>229</v>
      </c>
      <c r="B114" s="851" t="s">
        <v>591</v>
      </c>
      <c r="C114" s="852"/>
      <c r="D114" s="852"/>
      <c r="E114" s="852"/>
      <c r="F114" s="852"/>
      <c r="G114" s="852"/>
      <c r="H114" s="852"/>
      <c r="I114" s="852"/>
      <c r="J114" s="860"/>
      <c r="K114" s="861"/>
      <c r="L114" s="45"/>
      <c r="M114" s="44"/>
      <c r="N114" s="43"/>
      <c r="O114" s="43"/>
      <c r="P114" s="43"/>
      <c r="Q114" s="43"/>
      <c r="R114" s="43"/>
      <c r="S114" s="43"/>
      <c r="T114" s="43"/>
      <c r="U114" s="43"/>
      <c r="V114" s="43"/>
      <c r="W114" s="43"/>
      <c r="X114" s="43"/>
      <c r="Y114" s="43"/>
      <c r="Z114" s="43"/>
      <c r="AA114" s="43"/>
      <c r="AB114" s="43"/>
      <c r="AC114" s="43"/>
      <c r="AD114" s="43"/>
      <c r="AE114" s="43"/>
      <c r="AF114" s="859"/>
      <c r="AG114" s="859"/>
      <c r="AH114" s="859"/>
    </row>
    <row r="115" spans="1:34">
      <c r="A115" s="850" t="s">
        <v>229</v>
      </c>
      <c r="B115" s="851" t="s">
        <v>592</v>
      </c>
      <c r="C115" s="852"/>
      <c r="D115" s="852"/>
      <c r="E115" s="852"/>
      <c r="F115" s="852"/>
      <c r="G115" s="852"/>
      <c r="H115" s="852"/>
      <c r="I115" s="852"/>
      <c r="J115" s="860"/>
      <c r="K115" s="861"/>
      <c r="L115" s="45"/>
      <c r="M115" s="45"/>
      <c r="N115" s="44"/>
      <c r="O115" s="43"/>
      <c r="P115" s="43"/>
      <c r="Q115" s="43"/>
      <c r="R115" s="43"/>
      <c r="S115" s="43"/>
      <c r="T115" s="43"/>
      <c r="U115" s="43"/>
      <c r="V115" s="43"/>
      <c r="W115" s="43"/>
      <c r="X115" s="43"/>
      <c r="Y115" s="43"/>
      <c r="Z115" s="43"/>
      <c r="AA115" s="43"/>
      <c r="AB115" s="43"/>
      <c r="AC115" s="43"/>
      <c r="AD115" s="43"/>
      <c r="AE115" s="43"/>
      <c r="AF115" s="859"/>
      <c r="AG115" s="859"/>
      <c r="AH115" s="859"/>
    </row>
    <row r="116" spans="1:34">
      <c r="A116" s="850" t="s">
        <v>229</v>
      </c>
      <c r="B116" s="851" t="s">
        <v>593</v>
      </c>
      <c r="C116" s="852"/>
      <c r="D116" s="852"/>
      <c r="E116" s="852"/>
      <c r="F116" s="852"/>
      <c r="G116" s="852"/>
      <c r="H116" s="852"/>
      <c r="I116" s="852"/>
      <c r="J116" s="860"/>
      <c r="K116" s="861"/>
      <c r="L116" s="45"/>
      <c r="M116" s="45"/>
      <c r="N116" s="45"/>
      <c r="O116" s="44"/>
      <c r="P116" s="43"/>
      <c r="Q116" s="43"/>
      <c r="R116" s="43"/>
      <c r="S116" s="43"/>
      <c r="T116" s="43"/>
      <c r="U116" s="43"/>
      <c r="V116" s="43"/>
      <c r="W116" s="43"/>
      <c r="X116" s="43"/>
      <c r="Y116" s="43"/>
      <c r="Z116" s="43"/>
      <c r="AA116" s="43"/>
      <c r="AB116" s="43"/>
      <c r="AC116" s="43"/>
      <c r="AD116" s="43"/>
      <c r="AE116" s="43"/>
      <c r="AF116" s="859"/>
      <c r="AG116" s="859"/>
      <c r="AH116" s="859"/>
    </row>
    <row r="117" spans="1:34">
      <c r="A117" s="850" t="s">
        <v>229</v>
      </c>
      <c r="B117" s="851" t="s">
        <v>594</v>
      </c>
      <c r="C117" s="852"/>
      <c r="D117" s="852"/>
      <c r="E117" s="852"/>
      <c r="F117" s="852"/>
      <c r="G117" s="852"/>
      <c r="H117" s="852"/>
      <c r="I117" s="852"/>
      <c r="J117" s="860"/>
      <c r="K117" s="861"/>
      <c r="L117" s="45"/>
      <c r="M117" s="45"/>
      <c r="N117" s="45"/>
      <c r="O117" s="45"/>
      <c r="P117" s="44"/>
      <c r="Q117" s="43"/>
      <c r="R117" s="43"/>
      <c r="S117" s="43"/>
      <c r="T117" s="43"/>
      <c r="U117" s="43"/>
      <c r="V117" s="43"/>
      <c r="W117" s="43"/>
      <c r="X117" s="43"/>
      <c r="Y117" s="43"/>
      <c r="Z117" s="43"/>
      <c r="AA117" s="43"/>
      <c r="AB117" s="43"/>
      <c r="AC117" s="43"/>
      <c r="AD117" s="43"/>
      <c r="AE117" s="43"/>
      <c r="AF117" s="859"/>
      <c r="AG117" s="859"/>
      <c r="AH117" s="859"/>
    </row>
    <row r="118" spans="1:34">
      <c r="A118" s="850" t="s">
        <v>229</v>
      </c>
      <c r="B118" s="851" t="s">
        <v>595</v>
      </c>
      <c r="C118" s="836">
        <f>399434/(10^7)</f>
        <v>3.9943399999999997E-2</v>
      </c>
      <c r="D118" s="864"/>
      <c r="E118" s="865">
        <f>C118+D118</f>
        <v>3.9943399999999997E-2</v>
      </c>
      <c r="F118" s="864"/>
      <c r="G118" s="864"/>
      <c r="H118" s="865">
        <f>E118+F118+G118</f>
        <v>3.9943399999999997E-2</v>
      </c>
      <c r="I118" s="865">
        <f t="shared" ref="I118:I124" si="102">H118</f>
        <v>3.9943399999999997E-2</v>
      </c>
      <c r="J118" s="837"/>
      <c r="K118" s="861">
        <f>2.57%+2.54%</f>
        <v>5.1099999999999993E-2</v>
      </c>
      <c r="L118" s="45"/>
      <c r="M118" s="45"/>
      <c r="N118" s="45"/>
      <c r="O118" s="45"/>
      <c r="P118" s="45"/>
      <c r="Q118" s="868">
        <f>$H118*VLOOKUP(Q$33,$B$110:$K$132,10,FALSE)/365*268</f>
        <v>1.4986763679999996E-3</v>
      </c>
      <c r="R118" s="869">
        <f t="shared" ref="R118:AC118" si="103">$H118*VLOOKUP(R$33,$B$110:$K$132,10,FALSE)</f>
        <v>1.02654538E-3</v>
      </c>
      <c r="S118" s="869">
        <f t="shared" si="103"/>
        <v>2.5284172199999998E-3</v>
      </c>
      <c r="T118" s="869">
        <f t="shared" si="103"/>
        <v>2.5284172199999998E-3</v>
      </c>
      <c r="U118" s="869">
        <f t="shared" si="103"/>
        <v>2.5284172199999998E-3</v>
      </c>
      <c r="V118" s="869">
        <f t="shared" si="103"/>
        <v>2.5284172199999998E-3</v>
      </c>
      <c r="W118" s="869">
        <f t="shared" si="103"/>
        <v>2.5284172199999998E-3</v>
      </c>
      <c r="X118" s="869">
        <f t="shared" si="103"/>
        <v>2.5284172199999998E-3</v>
      </c>
      <c r="Y118" s="869">
        <f t="shared" si="103"/>
        <v>2.5284172199999998E-3</v>
      </c>
      <c r="Z118" s="869">
        <f t="shared" si="103"/>
        <v>2.5284172199999998E-3</v>
      </c>
      <c r="AA118" s="869">
        <f t="shared" si="103"/>
        <v>2.5284172199999998E-3</v>
      </c>
      <c r="AB118" s="869">
        <f t="shared" si="103"/>
        <v>2.5284172199999998E-3</v>
      </c>
      <c r="AC118" s="869">
        <f t="shared" si="103"/>
        <v>2.5284172199999998E-3</v>
      </c>
      <c r="AD118" s="869">
        <f>SUM($I118*90%-SUM($Q118:$AC118))/2</f>
        <v>2.8056244160000032E-3</v>
      </c>
      <c r="AE118" s="869">
        <f>SUM($I118*90%-SUM($Q118:$AC118))/2</f>
        <v>2.8056244160000032E-3</v>
      </c>
      <c r="AF118" s="859"/>
      <c r="AG118" s="842">
        <f>IFERROR(SUM(Q118:AE118)/I118,0)</f>
        <v>0.9</v>
      </c>
      <c r="AH118" s="859">
        <f>I118-SUM(Q118:AE118)</f>
        <v>3.994339999999999E-3</v>
      </c>
    </row>
    <row r="119" spans="1:34">
      <c r="A119" s="850" t="s">
        <v>229</v>
      </c>
      <c r="B119" s="851" t="s">
        <v>596</v>
      </c>
      <c r="C119" s="836">
        <f>0/(10^7)</f>
        <v>0</v>
      </c>
      <c r="D119" s="864"/>
      <c r="E119" s="865">
        <f t="shared" ref="E119:E132" si="104">C119+D119</f>
        <v>0</v>
      </c>
      <c r="F119" s="864"/>
      <c r="G119" s="864"/>
      <c r="H119" s="865">
        <f t="shared" ref="H119:H132" si="105">E119+F119+G119</f>
        <v>0</v>
      </c>
      <c r="I119" s="865">
        <f t="shared" si="102"/>
        <v>0</v>
      </c>
      <c r="J119" s="837"/>
      <c r="K119" s="858">
        <v>2.5700000000000001E-2</v>
      </c>
      <c r="L119" s="45"/>
      <c r="M119" s="45"/>
      <c r="N119" s="45"/>
      <c r="O119" s="45"/>
      <c r="P119" s="45"/>
      <c r="Q119" s="870"/>
      <c r="R119" s="868">
        <f>$H119*VLOOKUP(R$33,$B$110:$K$132,10,FALSE)/365*121</f>
        <v>0</v>
      </c>
      <c r="S119" s="869">
        <f>$H119*VLOOKUP(S$33,$B$110:$K$132,10,FALSE)</f>
        <v>0</v>
      </c>
      <c r="T119" s="869">
        <f t="shared" ref="T119:AE119" si="106">$I119*VLOOKUP(T$33,$B$110:$K$132,10,FALSE)</f>
        <v>0</v>
      </c>
      <c r="U119" s="869">
        <f t="shared" si="106"/>
        <v>0</v>
      </c>
      <c r="V119" s="869">
        <f t="shared" si="106"/>
        <v>0</v>
      </c>
      <c r="W119" s="869">
        <f t="shared" si="106"/>
        <v>0</v>
      </c>
      <c r="X119" s="869">
        <f t="shared" si="106"/>
        <v>0</v>
      </c>
      <c r="Y119" s="869">
        <f t="shared" si="106"/>
        <v>0</v>
      </c>
      <c r="Z119" s="869">
        <f t="shared" si="106"/>
        <v>0</v>
      </c>
      <c r="AA119" s="869">
        <f t="shared" si="106"/>
        <v>0</v>
      </c>
      <c r="AB119" s="869">
        <f t="shared" si="106"/>
        <v>0</v>
      </c>
      <c r="AC119" s="869">
        <f t="shared" si="106"/>
        <v>0</v>
      </c>
      <c r="AD119" s="869">
        <f t="shared" si="106"/>
        <v>0</v>
      </c>
      <c r="AE119" s="869">
        <f t="shared" si="106"/>
        <v>0</v>
      </c>
      <c r="AF119" s="859"/>
      <c r="AG119" s="842">
        <f t="shared" ref="AG119:AG132" si="107">IFERROR(SUM(Q119:AE119)/I119,0)</f>
        <v>0</v>
      </c>
      <c r="AH119" s="859">
        <f t="shared" ref="AH119:AH132" si="108">I119-SUM(Q119:AE119)</f>
        <v>0</v>
      </c>
    </row>
    <row r="120" spans="1:34">
      <c r="A120" s="850" t="s">
        <v>229</v>
      </c>
      <c r="B120" s="851" t="s">
        <v>597</v>
      </c>
      <c r="C120" s="836">
        <f>36125/(10^7)</f>
        <v>3.6124999999999998E-3</v>
      </c>
      <c r="D120" s="864"/>
      <c r="E120" s="865">
        <f t="shared" si="104"/>
        <v>3.6124999999999998E-3</v>
      </c>
      <c r="F120" s="864"/>
      <c r="G120" s="864"/>
      <c r="H120" s="865">
        <f t="shared" si="105"/>
        <v>3.6124999999999998E-3</v>
      </c>
      <c r="I120" s="865">
        <f t="shared" si="102"/>
        <v>3.6124999999999998E-3</v>
      </c>
      <c r="J120" s="837"/>
      <c r="K120" s="858">
        <v>6.3299999999999995E-2</v>
      </c>
      <c r="L120" s="45"/>
      <c r="M120" s="45"/>
      <c r="N120" s="45"/>
      <c r="O120" s="45"/>
      <c r="P120" s="45"/>
      <c r="Q120" s="870"/>
      <c r="R120" s="871"/>
      <c r="S120" s="868">
        <f>$H120*VLOOKUP(S$33,$B$110:$K$132,10,FALSE)/2</f>
        <v>1.1433562499999999E-4</v>
      </c>
      <c r="T120" s="869">
        <f t="shared" ref="T120:AD120" si="109">$I120*VLOOKUP(T$33,$B$110:$K$132,10,FALSE)</f>
        <v>2.2867124999999998E-4</v>
      </c>
      <c r="U120" s="869">
        <f t="shared" si="109"/>
        <v>2.2867124999999998E-4</v>
      </c>
      <c r="V120" s="869">
        <f t="shared" si="109"/>
        <v>2.2867124999999998E-4</v>
      </c>
      <c r="W120" s="869">
        <f t="shared" si="109"/>
        <v>2.2867124999999998E-4</v>
      </c>
      <c r="X120" s="869">
        <f t="shared" si="109"/>
        <v>2.2867124999999998E-4</v>
      </c>
      <c r="Y120" s="869">
        <f t="shared" si="109"/>
        <v>2.2867124999999998E-4</v>
      </c>
      <c r="Z120" s="869">
        <f t="shared" si="109"/>
        <v>2.2867124999999998E-4</v>
      </c>
      <c r="AA120" s="869">
        <f t="shared" si="109"/>
        <v>2.2867124999999998E-4</v>
      </c>
      <c r="AB120" s="869">
        <f t="shared" si="109"/>
        <v>2.2867124999999998E-4</v>
      </c>
      <c r="AC120" s="869">
        <f t="shared" si="109"/>
        <v>2.2867124999999998E-4</v>
      </c>
      <c r="AD120" s="869">
        <f t="shared" si="109"/>
        <v>2.2867124999999998E-4</v>
      </c>
      <c r="AE120" s="869">
        <f>SUM($I120*90%-SUM($R120:$AD120))/3</f>
        <v>2.0717687499999986E-4</v>
      </c>
      <c r="AF120" s="859"/>
      <c r="AG120" s="842">
        <f t="shared" si="107"/>
        <v>0.78530000000000011</v>
      </c>
      <c r="AH120" s="859">
        <f t="shared" si="108"/>
        <v>7.7560374999999975E-4</v>
      </c>
    </row>
    <row r="121" spans="1:34">
      <c r="A121" s="850" t="s">
        <v>229</v>
      </c>
      <c r="B121" s="851" t="s">
        <v>598</v>
      </c>
      <c r="C121" s="836">
        <f>79855/(10^7)</f>
        <v>7.9854999999999995E-3</v>
      </c>
      <c r="D121" s="864"/>
      <c r="E121" s="865">
        <f t="shared" si="104"/>
        <v>7.9854999999999995E-3</v>
      </c>
      <c r="F121" s="865"/>
      <c r="G121" s="865"/>
      <c r="H121" s="865">
        <f t="shared" si="105"/>
        <v>7.9854999999999995E-3</v>
      </c>
      <c r="I121" s="865">
        <f t="shared" si="102"/>
        <v>7.9854999999999995E-3</v>
      </c>
      <c r="J121" s="837"/>
      <c r="K121" s="858">
        <v>6.3299999999999995E-2</v>
      </c>
      <c r="L121" s="45"/>
      <c r="M121" s="45"/>
      <c r="N121" s="45"/>
      <c r="O121" s="45"/>
      <c r="P121" s="45"/>
      <c r="Q121" s="870"/>
      <c r="R121" s="871"/>
      <c r="S121" s="871"/>
      <c r="T121" s="868">
        <f>$H121*VLOOKUP(T$33,$B$110:$K$132,10,FALSE)</f>
        <v>5.0548214999999997E-4</v>
      </c>
      <c r="U121" s="869">
        <f t="shared" ref="U121:AE121" si="110">$I121*VLOOKUP(U$33,$B$110:$K$132,10,FALSE)</f>
        <v>5.0548214999999997E-4</v>
      </c>
      <c r="V121" s="869">
        <f t="shared" si="110"/>
        <v>5.0548214999999997E-4</v>
      </c>
      <c r="W121" s="869">
        <f t="shared" si="110"/>
        <v>5.0548214999999997E-4</v>
      </c>
      <c r="X121" s="869">
        <f t="shared" si="110"/>
        <v>5.0548214999999997E-4</v>
      </c>
      <c r="Y121" s="869">
        <f t="shared" si="110"/>
        <v>5.0548214999999997E-4</v>
      </c>
      <c r="Z121" s="869">
        <f t="shared" si="110"/>
        <v>5.0548214999999997E-4</v>
      </c>
      <c r="AA121" s="869">
        <f t="shared" si="110"/>
        <v>5.0548214999999997E-4</v>
      </c>
      <c r="AB121" s="869">
        <f t="shared" si="110"/>
        <v>5.0548214999999997E-4</v>
      </c>
      <c r="AC121" s="869">
        <f t="shared" si="110"/>
        <v>5.0548214999999997E-4</v>
      </c>
      <c r="AD121" s="869">
        <f t="shared" si="110"/>
        <v>5.0548214999999997E-4</v>
      </c>
      <c r="AE121" s="869">
        <f t="shared" si="110"/>
        <v>5.0548214999999997E-4</v>
      </c>
      <c r="AF121" s="859"/>
      <c r="AG121" s="842">
        <f t="shared" si="107"/>
        <v>0.75960000000000005</v>
      </c>
      <c r="AH121" s="859">
        <f t="shared" si="108"/>
        <v>1.9197141999999995E-3</v>
      </c>
    </row>
    <row r="122" spans="1:34">
      <c r="A122" s="850" t="s">
        <v>229</v>
      </c>
      <c r="B122" s="851" t="s">
        <v>599</v>
      </c>
      <c r="C122" s="836">
        <f>(10350-85479)/(10^7)</f>
        <v>-7.5129000000000003E-3</v>
      </c>
      <c r="D122" s="864"/>
      <c r="E122" s="865">
        <f t="shared" si="104"/>
        <v>-7.5129000000000003E-3</v>
      </c>
      <c r="F122" s="865"/>
      <c r="G122" s="865"/>
      <c r="H122" s="865">
        <f t="shared" si="105"/>
        <v>-7.5129000000000003E-3</v>
      </c>
      <c r="I122" s="865">
        <f t="shared" si="102"/>
        <v>-7.5129000000000003E-3</v>
      </c>
      <c r="J122" s="837"/>
      <c r="K122" s="858">
        <v>6.3299999999999995E-2</v>
      </c>
      <c r="L122" s="45"/>
      <c r="M122" s="45"/>
      <c r="N122" s="45"/>
      <c r="O122" s="45"/>
      <c r="P122" s="45"/>
      <c r="Q122" s="870"/>
      <c r="R122" s="871"/>
      <c r="S122" s="871"/>
      <c r="T122" s="871"/>
      <c r="U122" s="868">
        <f>C122</f>
        <v>-7.5129000000000003E-3</v>
      </c>
      <c r="V122" s="869"/>
      <c r="W122" s="869"/>
      <c r="X122" s="869"/>
      <c r="Y122" s="869"/>
      <c r="Z122" s="869"/>
      <c r="AA122" s="869"/>
      <c r="AB122" s="869"/>
      <c r="AC122" s="869"/>
      <c r="AD122" s="869"/>
      <c r="AE122" s="869"/>
      <c r="AF122" s="859"/>
      <c r="AG122" s="842">
        <f t="shared" si="107"/>
        <v>1</v>
      </c>
      <c r="AH122" s="859">
        <f t="shared" si="108"/>
        <v>0</v>
      </c>
    </row>
    <row r="123" spans="1:34">
      <c r="A123" s="850" t="s">
        <v>229</v>
      </c>
      <c r="B123" s="851" t="s">
        <v>600</v>
      </c>
      <c r="C123" s="836">
        <f>855274/(10^7)</f>
        <v>8.5527400000000003E-2</v>
      </c>
      <c r="D123" s="864"/>
      <c r="E123" s="865">
        <f t="shared" si="104"/>
        <v>8.5527400000000003E-2</v>
      </c>
      <c r="F123" s="865"/>
      <c r="G123" s="865"/>
      <c r="H123" s="865">
        <f t="shared" si="105"/>
        <v>8.5527400000000003E-2</v>
      </c>
      <c r="I123" s="865">
        <f t="shared" si="102"/>
        <v>8.5527400000000003E-2</v>
      </c>
      <c r="J123" s="837"/>
      <c r="K123" s="858">
        <v>6.3299999999999995E-2</v>
      </c>
      <c r="L123" s="45"/>
      <c r="M123" s="45"/>
      <c r="N123" s="45"/>
      <c r="O123" s="45"/>
      <c r="P123" s="45"/>
      <c r="Q123" s="870"/>
      <c r="R123" s="871"/>
      <c r="S123" s="871"/>
      <c r="T123" s="871"/>
      <c r="U123" s="871"/>
      <c r="V123" s="868">
        <f>$H123*VLOOKUP(V$33,$B$110:$K$132,10,FALSE)</f>
        <v>5.4138844199999999E-3</v>
      </c>
      <c r="W123" s="869">
        <f t="shared" ref="W123:AE123" si="111">$I123*VLOOKUP(W$33,$B$110:$K$132,10,FALSE)</f>
        <v>5.4138844199999999E-3</v>
      </c>
      <c r="X123" s="869">
        <f t="shared" si="111"/>
        <v>5.4138844199999999E-3</v>
      </c>
      <c r="Y123" s="869">
        <f t="shared" si="111"/>
        <v>5.4138844199999999E-3</v>
      </c>
      <c r="Z123" s="869">
        <f t="shared" si="111"/>
        <v>5.4138844199999999E-3</v>
      </c>
      <c r="AA123" s="869">
        <f t="shared" si="111"/>
        <v>5.4138844199999999E-3</v>
      </c>
      <c r="AB123" s="869">
        <f t="shared" si="111"/>
        <v>5.4138844199999999E-3</v>
      </c>
      <c r="AC123" s="869">
        <f t="shared" si="111"/>
        <v>5.4138844199999999E-3</v>
      </c>
      <c r="AD123" s="869">
        <f t="shared" si="111"/>
        <v>5.4138844199999999E-3</v>
      </c>
      <c r="AE123" s="869">
        <f t="shared" si="111"/>
        <v>5.4138844199999999E-3</v>
      </c>
      <c r="AF123" s="859"/>
      <c r="AG123" s="842">
        <f t="shared" si="107"/>
        <v>0.63300000000000001</v>
      </c>
      <c r="AH123" s="859">
        <f t="shared" si="108"/>
        <v>3.1388555800000002E-2</v>
      </c>
    </row>
    <row r="124" spans="1:34">
      <c r="A124" s="850" t="s">
        <v>229</v>
      </c>
      <c r="B124" s="851" t="s">
        <v>601</v>
      </c>
      <c r="C124" s="864"/>
      <c r="D124" s="864"/>
      <c r="E124" s="865">
        <f t="shared" si="104"/>
        <v>0</v>
      </c>
      <c r="F124" s="865"/>
      <c r="G124" s="865"/>
      <c r="H124" s="865">
        <f t="shared" si="105"/>
        <v>0</v>
      </c>
      <c r="I124" s="865">
        <f t="shared" si="102"/>
        <v>0</v>
      </c>
      <c r="J124" s="837"/>
      <c r="K124" s="858">
        <v>6.3299999999999995E-2</v>
      </c>
      <c r="L124" s="45"/>
      <c r="M124" s="45"/>
      <c r="N124" s="45"/>
      <c r="O124" s="45"/>
      <c r="P124" s="45"/>
      <c r="Q124" s="870"/>
      <c r="R124" s="871"/>
      <c r="S124" s="871"/>
      <c r="T124" s="871"/>
      <c r="U124" s="871"/>
      <c r="V124" s="871"/>
      <c r="W124" s="868">
        <f>$H124*VLOOKUP(W$33,$B$110:$K$132,10,FALSE)/2</f>
        <v>0</v>
      </c>
      <c r="X124" s="869">
        <f t="shared" ref="X124:AE124" si="112">$I124*VLOOKUP(X$33,$B$110:$K$132,10,FALSE)</f>
        <v>0</v>
      </c>
      <c r="Y124" s="869">
        <f t="shared" si="112"/>
        <v>0</v>
      </c>
      <c r="Z124" s="869">
        <f t="shared" si="112"/>
        <v>0</v>
      </c>
      <c r="AA124" s="869">
        <f t="shared" si="112"/>
        <v>0</v>
      </c>
      <c r="AB124" s="869">
        <f t="shared" si="112"/>
        <v>0</v>
      </c>
      <c r="AC124" s="869">
        <f t="shared" si="112"/>
        <v>0</v>
      </c>
      <c r="AD124" s="869">
        <f t="shared" si="112"/>
        <v>0</v>
      </c>
      <c r="AE124" s="869">
        <f t="shared" si="112"/>
        <v>0</v>
      </c>
      <c r="AF124" s="859"/>
      <c r="AG124" s="842">
        <f t="shared" si="107"/>
        <v>0</v>
      </c>
      <c r="AH124" s="859">
        <f t="shared" si="108"/>
        <v>0</v>
      </c>
    </row>
    <row r="125" spans="1:34">
      <c r="A125" s="850" t="s">
        <v>229</v>
      </c>
      <c r="B125" s="851" t="s">
        <v>602</v>
      </c>
      <c r="C125" s="864"/>
      <c r="D125" s="864"/>
      <c r="E125" s="865">
        <f t="shared" si="104"/>
        <v>0</v>
      </c>
      <c r="F125" s="865"/>
      <c r="G125" s="865"/>
      <c r="H125" s="865">
        <f t="shared" si="105"/>
        <v>0</v>
      </c>
      <c r="I125" s="865">
        <f>H125</f>
        <v>0</v>
      </c>
      <c r="J125" s="837"/>
      <c r="K125" s="858">
        <v>6.3299999999999995E-2</v>
      </c>
      <c r="L125" s="45"/>
      <c r="M125" s="45"/>
      <c r="N125" s="45"/>
      <c r="O125" s="45"/>
      <c r="P125" s="45"/>
      <c r="Q125" s="870"/>
      <c r="R125" s="871"/>
      <c r="S125" s="871"/>
      <c r="T125" s="871"/>
      <c r="U125" s="871"/>
      <c r="V125" s="871"/>
      <c r="W125" s="871"/>
      <c r="X125" s="868">
        <f>$H125*VLOOKUP(X$33,$B$110:$K$132,10,FALSE)/2</f>
        <v>0</v>
      </c>
      <c r="Y125" s="869">
        <f t="shared" ref="Y125:AE125" si="113">$I125*VLOOKUP(Y$33,$B$110:$K$132,10,FALSE)</f>
        <v>0</v>
      </c>
      <c r="Z125" s="869">
        <f t="shared" si="113"/>
        <v>0</v>
      </c>
      <c r="AA125" s="869">
        <f t="shared" si="113"/>
        <v>0</v>
      </c>
      <c r="AB125" s="869">
        <f t="shared" si="113"/>
        <v>0</v>
      </c>
      <c r="AC125" s="869">
        <f t="shared" si="113"/>
        <v>0</v>
      </c>
      <c r="AD125" s="869">
        <f t="shared" si="113"/>
        <v>0</v>
      </c>
      <c r="AE125" s="869">
        <f t="shared" si="113"/>
        <v>0</v>
      </c>
      <c r="AF125" s="859"/>
      <c r="AG125" s="842">
        <f t="shared" si="107"/>
        <v>0</v>
      </c>
      <c r="AH125" s="859">
        <f t="shared" si="108"/>
        <v>0</v>
      </c>
    </row>
    <row r="126" spans="1:34">
      <c r="A126" s="850" t="s">
        <v>229</v>
      </c>
      <c r="B126" s="851" t="s">
        <v>603</v>
      </c>
      <c r="C126" s="864"/>
      <c r="D126" s="865"/>
      <c r="E126" s="865">
        <f t="shared" si="104"/>
        <v>0</v>
      </c>
      <c r="F126" s="865"/>
      <c r="G126" s="865"/>
      <c r="H126" s="865">
        <f t="shared" si="105"/>
        <v>0</v>
      </c>
      <c r="I126" s="865">
        <f>H126</f>
        <v>0</v>
      </c>
      <c r="J126" s="837"/>
      <c r="K126" s="858">
        <v>6.3299999999999995E-2</v>
      </c>
      <c r="L126" s="45"/>
      <c r="M126" s="45"/>
      <c r="N126" s="45"/>
      <c r="O126" s="45"/>
      <c r="P126" s="45"/>
      <c r="Q126" s="870"/>
      <c r="R126" s="871"/>
      <c r="S126" s="871"/>
      <c r="T126" s="871"/>
      <c r="U126" s="871"/>
      <c r="V126" s="871"/>
      <c r="W126" s="871"/>
      <c r="X126" s="871"/>
      <c r="Y126" s="868">
        <f>$H126*VLOOKUP(Y$33,$B$110:$K$132,10,FALSE)/2</f>
        <v>0</v>
      </c>
      <c r="Z126" s="869">
        <f t="shared" ref="Z126:AE126" si="114">$I126*VLOOKUP(Z$33,$B$110:$K$132,10,FALSE)</f>
        <v>0</v>
      </c>
      <c r="AA126" s="869">
        <f t="shared" si="114"/>
        <v>0</v>
      </c>
      <c r="AB126" s="869">
        <f t="shared" si="114"/>
        <v>0</v>
      </c>
      <c r="AC126" s="869">
        <f t="shared" si="114"/>
        <v>0</v>
      </c>
      <c r="AD126" s="869">
        <f t="shared" si="114"/>
        <v>0</v>
      </c>
      <c r="AE126" s="869">
        <f t="shared" si="114"/>
        <v>0</v>
      </c>
      <c r="AF126" s="859"/>
      <c r="AG126" s="842">
        <f t="shared" si="107"/>
        <v>0</v>
      </c>
      <c r="AH126" s="859">
        <f t="shared" si="108"/>
        <v>0</v>
      </c>
    </row>
    <row r="127" spans="1:34">
      <c r="A127" s="850" t="s">
        <v>229</v>
      </c>
      <c r="B127" s="851" t="s">
        <v>607</v>
      </c>
      <c r="C127" s="865"/>
      <c r="D127" s="865"/>
      <c r="E127" s="865">
        <f t="shared" si="104"/>
        <v>0</v>
      </c>
      <c r="F127" s="865"/>
      <c r="G127" s="865"/>
      <c r="H127" s="865">
        <f t="shared" si="105"/>
        <v>0</v>
      </c>
      <c r="I127" s="865">
        <f t="shared" ref="I127:I132" si="115">H127</f>
        <v>0</v>
      </c>
      <c r="J127" s="837"/>
      <c r="K127" s="858">
        <v>6.3299999999999995E-2</v>
      </c>
      <c r="L127" s="45"/>
      <c r="M127" s="45"/>
      <c r="N127" s="45"/>
      <c r="O127" s="45"/>
      <c r="P127" s="45"/>
      <c r="Q127" s="870"/>
      <c r="R127" s="871"/>
      <c r="S127" s="871"/>
      <c r="T127" s="871"/>
      <c r="U127" s="871"/>
      <c r="V127" s="871"/>
      <c r="W127" s="871"/>
      <c r="X127" s="871"/>
      <c r="Y127" s="871"/>
      <c r="Z127" s="868">
        <f>$H127*VLOOKUP(Z$33,$B$110:$K$132,10,FALSE)/2</f>
        <v>0</v>
      </c>
      <c r="AA127" s="869">
        <f>$I127*VLOOKUP(AA$33,$B$110:$K$132,10,FALSE)</f>
        <v>0</v>
      </c>
      <c r="AB127" s="869">
        <f>$I127*VLOOKUP(AB$33,$B$110:$K$132,10,FALSE)</f>
        <v>0</v>
      </c>
      <c r="AC127" s="869">
        <f>$I127*VLOOKUP(AC$33,$B$110:$K$132,10,FALSE)</f>
        <v>0</v>
      </c>
      <c r="AD127" s="869">
        <f>$I127*VLOOKUP(AD$33,$B$110:$K$132,10,FALSE)</f>
        <v>0</v>
      </c>
      <c r="AE127" s="869">
        <f>$I127*VLOOKUP(AE$33,$B$110:$K$132,10,FALSE)</f>
        <v>0</v>
      </c>
      <c r="AF127" s="859"/>
      <c r="AG127" s="842">
        <f t="shared" si="107"/>
        <v>0</v>
      </c>
      <c r="AH127" s="859">
        <f t="shared" si="108"/>
        <v>0</v>
      </c>
    </row>
    <row r="128" spans="1:34">
      <c r="A128" s="850" t="s">
        <v>229</v>
      </c>
      <c r="B128" s="851" t="s">
        <v>608</v>
      </c>
      <c r="C128" s="865"/>
      <c r="D128" s="865"/>
      <c r="E128" s="865">
        <f t="shared" si="104"/>
        <v>0</v>
      </c>
      <c r="F128" s="865"/>
      <c r="G128" s="865"/>
      <c r="H128" s="865">
        <f t="shared" si="105"/>
        <v>0</v>
      </c>
      <c r="I128" s="865">
        <f t="shared" si="115"/>
        <v>0</v>
      </c>
      <c r="J128" s="837"/>
      <c r="K128" s="858">
        <v>6.3299999999999995E-2</v>
      </c>
      <c r="L128" s="45"/>
      <c r="M128" s="45"/>
      <c r="N128" s="45"/>
      <c r="O128" s="45"/>
      <c r="P128" s="45"/>
      <c r="Q128" s="870"/>
      <c r="R128" s="871"/>
      <c r="S128" s="871"/>
      <c r="T128" s="871"/>
      <c r="U128" s="871"/>
      <c r="V128" s="871"/>
      <c r="W128" s="871"/>
      <c r="X128" s="871"/>
      <c r="Y128" s="871"/>
      <c r="Z128" s="871"/>
      <c r="AA128" s="868">
        <f>$H128*VLOOKUP(AA$33,$B$110:$K$132,10,FALSE)/2</f>
        <v>0</v>
      </c>
      <c r="AB128" s="869">
        <f>$I128*VLOOKUP(AB$33,$B$110:$K$132,10,FALSE)</f>
        <v>0</v>
      </c>
      <c r="AC128" s="869">
        <f>$I128*VLOOKUP(AC$33,$B$110:$K$132,10,FALSE)</f>
        <v>0</v>
      </c>
      <c r="AD128" s="869">
        <f>$I128*VLOOKUP(AD$33,$B$110:$K$132,10,FALSE)</f>
        <v>0</v>
      </c>
      <c r="AE128" s="869">
        <f>$I128*VLOOKUP(AE$33,$B$110:$K$132,10,FALSE)</f>
        <v>0</v>
      </c>
      <c r="AF128" s="859"/>
      <c r="AG128" s="842">
        <f t="shared" si="107"/>
        <v>0</v>
      </c>
      <c r="AH128" s="859">
        <f t="shared" si="108"/>
        <v>0</v>
      </c>
    </row>
    <row r="129" spans="1:34">
      <c r="A129" s="850" t="s">
        <v>229</v>
      </c>
      <c r="B129" s="851" t="s">
        <v>609</v>
      </c>
      <c r="C129" s="865"/>
      <c r="D129" s="865"/>
      <c r="E129" s="865">
        <f t="shared" si="104"/>
        <v>0</v>
      </c>
      <c r="F129" s="865"/>
      <c r="G129" s="865"/>
      <c r="H129" s="865">
        <f t="shared" si="105"/>
        <v>0</v>
      </c>
      <c r="I129" s="865">
        <f t="shared" si="115"/>
        <v>0</v>
      </c>
      <c r="J129" s="837"/>
      <c r="K129" s="858">
        <v>6.3299999999999995E-2</v>
      </c>
      <c r="L129" s="45"/>
      <c r="M129" s="45"/>
      <c r="N129" s="45"/>
      <c r="O129" s="45"/>
      <c r="P129" s="45"/>
      <c r="Q129" s="870"/>
      <c r="R129" s="871"/>
      <c r="S129" s="871"/>
      <c r="T129" s="871"/>
      <c r="U129" s="871"/>
      <c r="V129" s="871"/>
      <c r="W129" s="871"/>
      <c r="X129" s="871"/>
      <c r="Y129" s="871"/>
      <c r="Z129" s="871"/>
      <c r="AA129" s="871"/>
      <c r="AB129" s="868">
        <f>$H129*VLOOKUP(AB$33,$B$110:$K$132,10,FALSE)/2</f>
        <v>0</v>
      </c>
      <c r="AC129" s="869">
        <f>$I129*VLOOKUP(AC$33,$B$110:$K$132,10,FALSE)</f>
        <v>0</v>
      </c>
      <c r="AD129" s="869">
        <f>$I129*VLOOKUP(AD$33,$B$110:$K$132,10,FALSE)</f>
        <v>0</v>
      </c>
      <c r="AE129" s="869">
        <f>$I129*VLOOKUP(AE$33,$B$110:$K$132,10,FALSE)</f>
        <v>0</v>
      </c>
      <c r="AF129" s="859"/>
      <c r="AG129" s="842">
        <f t="shared" si="107"/>
        <v>0</v>
      </c>
      <c r="AH129" s="859">
        <f t="shared" si="108"/>
        <v>0</v>
      </c>
    </row>
    <row r="130" spans="1:34">
      <c r="A130" s="850" t="s">
        <v>229</v>
      </c>
      <c r="B130" s="851" t="s">
        <v>610</v>
      </c>
      <c r="C130" s="865"/>
      <c r="D130" s="865"/>
      <c r="E130" s="865">
        <f t="shared" si="104"/>
        <v>0</v>
      </c>
      <c r="F130" s="865"/>
      <c r="G130" s="865"/>
      <c r="H130" s="865">
        <f t="shared" si="105"/>
        <v>0</v>
      </c>
      <c r="I130" s="865">
        <f t="shared" si="115"/>
        <v>0</v>
      </c>
      <c r="J130" s="837"/>
      <c r="K130" s="858">
        <v>6.3299999999999995E-2</v>
      </c>
      <c r="L130" s="45"/>
      <c r="M130" s="45"/>
      <c r="N130" s="45"/>
      <c r="O130" s="45"/>
      <c r="P130" s="45"/>
      <c r="Q130" s="870"/>
      <c r="R130" s="871"/>
      <c r="S130" s="871"/>
      <c r="T130" s="871"/>
      <c r="U130" s="871"/>
      <c r="V130" s="871"/>
      <c r="W130" s="871"/>
      <c r="X130" s="871"/>
      <c r="Y130" s="871"/>
      <c r="Z130" s="871"/>
      <c r="AA130" s="871"/>
      <c r="AB130" s="871"/>
      <c r="AC130" s="868">
        <f>$H130*VLOOKUP(AC$33,$B$110:$K$132,10,FALSE)/2</f>
        <v>0</v>
      </c>
      <c r="AD130" s="869">
        <f>$I130*VLOOKUP(AD$33,$B$110:$K$132,10,FALSE)</f>
        <v>0</v>
      </c>
      <c r="AE130" s="869">
        <f>$I130*VLOOKUP(AE$33,$B$110:$K$132,10,FALSE)</f>
        <v>0</v>
      </c>
      <c r="AF130" s="859"/>
      <c r="AG130" s="842">
        <f t="shared" si="107"/>
        <v>0</v>
      </c>
      <c r="AH130" s="859">
        <f t="shared" si="108"/>
        <v>0</v>
      </c>
    </row>
    <row r="131" spans="1:34">
      <c r="A131" s="850" t="s">
        <v>229</v>
      </c>
      <c r="B131" s="851" t="s">
        <v>611</v>
      </c>
      <c r="C131" s="865"/>
      <c r="D131" s="865"/>
      <c r="E131" s="865">
        <f t="shared" si="104"/>
        <v>0</v>
      </c>
      <c r="F131" s="865"/>
      <c r="G131" s="865"/>
      <c r="H131" s="865">
        <f t="shared" si="105"/>
        <v>0</v>
      </c>
      <c r="I131" s="865">
        <f t="shared" si="115"/>
        <v>0</v>
      </c>
      <c r="J131" s="837"/>
      <c r="K131" s="858">
        <v>6.3299999999999995E-2</v>
      </c>
      <c r="L131" s="45"/>
      <c r="M131" s="45"/>
      <c r="N131" s="45"/>
      <c r="O131" s="45"/>
      <c r="P131" s="45"/>
      <c r="Q131" s="870"/>
      <c r="R131" s="871"/>
      <c r="S131" s="871"/>
      <c r="T131" s="871"/>
      <c r="U131" s="871"/>
      <c r="V131" s="871"/>
      <c r="W131" s="871"/>
      <c r="X131" s="871"/>
      <c r="Y131" s="871"/>
      <c r="Z131" s="871"/>
      <c r="AA131" s="871"/>
      <c r="AB131" s="871"/>
      <c r="AC131" s="871"/>
      <c r="AD131" s="868">
        <f>$H131*VLOOKUP(AD$33,$B$110:$K$132,10,FALSE)/2</f>
        <v>0</v>
      </c>
      <c r="AE131" s="869">
        <f>$I131*VLOOKUP(AE$33,$B$110:$K$132,10,FALSE)</f>
        <v>0</v>
      </c>
      <c r="AF131" s="859"/>
      <c r="AG131" s="842">
        <f t="shared" si="107"/>
        <v>0</v>
      </c>
      <c r="AH131" s="859">
        <f t="shared" si="108"/>
        <v>0</v>
      </c>
    </row>
    <row r="132" spans="1:34">
      <c r="A132" s="850" t="s">
        <v>229</v>
      </c>
      <c r="B132" s="851" t="s">
        <v>612</v>
      </c>
      <c r="C132" s="865"/>
      <c r="D132" s="865"/>
      <c r="E132" s="865">
        <f t="shared" si="104"/>
        <v>0</v>
      </c>
      <c r="F132" s="865"/>
      <c r="G132" s="865"/>
      <c r="H132" s="865">
        <f t="shared" si="105"/>
        <v>0</v>
      </c>
      <c r="I132" s="865">
        <f t="shared" si="115"/>
        <v>0</v>
      </c>
      <c r="J132" s="837"/>
      <c r="K132" s="858">
        <v>6.3299999999999995E-2</v>
      </c>
      <c r="L132" s="45"/>
      <c r="M132" s="45"/>
      <c r="N132" s="45"/>
      <c r="O132" s="45"/>
      <c r="P132" s="45"/>
      <c r="Q132" s="870"/>
      <c r="R132" s="871"/>
      <c r="S132" s="871"/>
      <c r="T132" s="871"/>
      <c r="U132" s="871"/>
      <c r="V132" s="871"/>
      <c r="W132" s="871"/>
      <c r="X132" s="871"/>
      <c r="Y132" s="871"/>
      <c r="Z132" s="871"/>
      <c r="AA132" s="871"/>
      <c r="AB132" s="871"/>
      <c r="AC132" s="871"/>
      <c r="AD132" s="871"/>
      <c r="AE132" s="868">
        <f>$H132*VLOOKUP(AE$33,$B$110:$K$132,10,FALSE)/2</f>
        <v>0</v>
      </c>
      <c r="AF132" s="859"/>
      <c r="AG132" s="842">
        <f t="shared" si="107"/>
        <v>0</v>
      </c>
      <c r="AH132" s="859">
        <f t="shared" si="108"/>
        <v>0</v>
      </c>
    </row>
    <row r="133" spans="1:34">
      <c r="A133" s="853" t="s">
        <v>613</v>
      </c>
      <c r="B133" s="854" t="s">
        <v>23</v>
      </c>
      <c r="C133" s="866">
        <f>SUM(C118:C132)</f>
        <v>0.1295559</v>
      </c>
      <c r="D133" s="866">
        <f>SUM(D118:D132)</f>
        <v>0</v>
      </c>
      <c r="E133" s="866">
        <f>SUM(E118:E132)</f>
        <v>0.1295559</v>
      </c>
      <c r="F133" s="866">
        <f t="shared" ref="F133:J133" si="116">SUM(F118:F132)</f>
        <v>0</v>
      </c>
      <c r="G133" s="866">
        <f t="shared" si="116"/>
        <v>0</v>
      </c>
      <c r="H133" s="866">
        <f t="shared" si="116"/>
        <v>0.1295559</v>
      </c>
      <c r="I133" s="866">
        <f t="shared" si="116"/>
        <v>0.1295559</v>
      </c>
      <c r="J133" s="855">
        <f t="shared" si="116"/>
        <v>0</v>
      </c>
      <c r="K133" s="855"/>
      <c r="L133" s="855">
        <f t="shared" ref="L133:P133" si="117">SUM(L118:L132)</f>
        <v>0</v>
      </c>
      <c r="M133" s="855">
        <f t="shared" si="117"/>
        <v>0</v>
      </c>
      <c r="N133" s="855">
        <f t="shared" si="117"/>
        <v>0</v>
      </c>
      <c r="O133" s="855">
        <f t="shared" si="117"/>
        <v>0</v>
      </c>
      <c r="P133" s="855">
        <f t="shared" si="117"/>
        <v>0</v>
      </c>
      <c r="Q133" s="872">
        <f>SUM(Q112:Q132)</f>
        <v>1.4986763679999996E-3</v>
      </c>
      <c r="R133" s="872">
        <f t="shared" ref="R133" si="118">SUM(R112:R132)</f>
        <v>1.02654538E-3</v>
      </c>
      <c r="S133" s="872">
        <f t="shared" ref="S133" si="119">SUM(S112:S132)</f>
        <v>2.6427528449999996E-3</v>
      </c>
      <c r="T133" s="872">
        <f t="shared" ref="T133" si="120">SUM(T112:T132)</f>
        <v>3.2625706199999999E-3</v>
      </c>
      <c r="U133" s="872">
        <f t="shared" ref="U133" si="121">SUM(U112:U132)</f>
        <v>-4.2503293800000008E-3</v>
      </c>
      <c r="V133" s="872">
        <f t="shared" ref="V133" si="122">SUM(V112:V132)</f>
        <v>8.6764550399999994E-3</v>
      </c>
      <c r="W133" s="872">
        <f t="shared" ref="W133" si="123">SUM(W112:W132)</f>
        <v>8.6764550399999994E-3</v>
      </c>
      <c r="X133" s="872">
        <f t="shared" ref="X133" si="124">SUM(X112:X132)</f>
        <v>8.6764550399999994E-3</v>
      </c>
      <c r="Y133" s="872">
        <f t="shared" ref="Y133" si="125">SUM(Y112:Y132)</f>
        <v>8.6764550399999994E-3</v>
      </c>
      <c r="Z133" s="872">
        <f t="shared" ref="Z133" si="126">SUM(Z112:Z132)</f>
        <v>8.6764550399999994E-3</v>
      </c>
      <c r="AA133" s="872">
        <f t="shared" ref="AA133" si="127">SUM(AA112:AA132)</f>
        <v>8.6764550399999994E-3</v>
      </c>
      <c r="AB133" s="872">
        <f t="shared" ref="AB133" si="128">SUM(AB112:AB132)</f>
        <v>8.6764550399999994E-3</v>
      </c>
      <c r="AC133" s="872">
        <f t="shared" ref="AC133" si="129">SUM(AC112:AC132)</f>
        <v>8.6764550399999994E-3</v>
      </c>
      <c r="AD133" s="872">
        <f t="shared" ref="AD133" si="130">SUM(AD112:AD132)</f>
        <v>8.9536622360000036E-3</v>
      </c>
      <c r="AE133" s="872">
        <f t="shared" ref="AE133" si="131">SUM(AE112:AE132)</f>
        <v>8.9321678610000035E-3</v>
      </c>
      <c r="AF133" s="839">
        <f t="shared" ref="AF133" si="132">SUM(AF118:AF132)</f>
        <v>0</v>
      </c>
      <c r="AG133" s="839"/>
      <c r="AH133" s="839">
        <f t="shared" ref="AH133" si="133">SUM(AH118:AH132)</f>
        <v>3.8078213749999999E-2</v>
      </c>
    </row>
    <row r="134" spans="1:34">
      <c r="H134" s="845">
        <f>'F4'!W35-H133</f>
        <v>0</v>
      </c>
      <c r="AE134" s="862"/>
    </row>
    <row r="135" spans="1:34">
      <c r="B135" s="844" t="str">
        <f>'F4'!C20</f>
        <v>Buildings</v>
      </c>
      <c r="L135" s="846" t="s">
        <v>33</v>
      </c>
    </row>
    <row r="136" spans="1:34" ht="30">
      <c r="A136" s="847"/>
      <c r="B136" s="857" t="s">
        <v>431</v>
      </c>
      <c r="C136" s="1221" t="s">
        <v>229</v>
      </c>
      <c r="D136" s="1221" t="s">
        <v>934</v>
      </c>
      <c r="E136" s="1221" t="s">
        <v>935</v>
      </c>
      <c r="F136" s="1221" t="s">
        <v>936</v>
      </c>
      <c r="G136" s="1221" t="s">
        <v>937</v>
      </c>
      <c r="H136" s="1221" t="s">
        <v>938</v>
      </c>
      <c r="I136" s="1221" t="s">
        <v>939</v>
      </c>
      <c r="J136" s="1223" t="s">
        <v>589</v>
      </c>
      <c r="K136" s="1223" t="s">
        <v>641</v>
      </c>
      <c r="L136" s="1226" t="s">
        <v>642</v>
      </c>
      <c r="M136" s="1226"/>
      <c r="N136" s="1226"/>
      <c r="O136" s="1226"/>
      <c r="P136" s="1226"/>
      <c r="Q136" s="1226"/>
      <c r="R136" s="1226"/>
      <c r="S136" s="1226"/>
      <c r="T136" s="1226"/>
      <c r="U136" s="1226"/>
      <c r="V136" s="1226"/>
      <c r="W136" s="1226"/>
      <c r="X136" s="1226"/>
      <c r="Y136" s="1226"/>
      <c r="Z136" s="1226"/>
      <c r="AA136" s="1226"/>
      <c r="AB136" s="1226"/>
      <c r="AC136" s="1226"/>
      <c r="AD136" s="1226"/>
      <c r="AE136" s="1226"/>
      <c r="AF136" s="848" t="s">
        <v>925</v>
      </c>
      <c r="AG136" s="848" t="s">
        <v>604</v>
      </c>
      <c r="AH136" s="848" t="s">
        <v>605</v>
      </c>
    </row>
    <row r="137" spans="1:34">
      <c r="A137" s="847"/>
      <c r="B137" s="857"/>
      <c r="C137" s="1222"/>
      <c r="D137" s="1222"/>
      <c r="E137" s="1222"/>
      <c r="F137" s="1222"/>
      <c r="G137" s="1222"/>
      <c r="H137" s="1222"/>
      <c r="I137" s="1227"/>
      <c r="J137" s="1224"/>
      <c r="K137" s="1224"/>
      <c r="L137" s="849" t="s">
        <v>590</v>
      </c>
      <c r="M137" s="849" t="s">
        <v>591</v>
      </c>
      <c r="N137" s="849" t="s">
        <v>592</v>
      </c>
      <c r="O137" s="849" t="s">
        <v>593</v>
      </c>
      <c r="P137" s="849" t="s">
        <v>594</v>
      </c>
      <c r="Q137" s="849" t="s">
        <v>595</v>
      </c>
      <c r="R137" s="849" t="s">
        <v>596</v>
      </c>
      <c r="S137" s="849" t="s">
        <v>597</v>
      </c>
      <c r="T137" s="849" t="s">
        <v>598</v>
      </c>
      <c r="U137" s="849" t="s">
        <v>599</v>
      </c>
      <c r="V137" s="849" t="s">
        <v>600</v>
      </c>
      <c r="W137" s="849" t="s">
        <v>601</v>
      </c>
      <c r="X137" s="849" t="s">
        <v>602</v>
      </c>
      <c r="Y137" s="849" t="s">
        <v>603</v>
      </c>
      <c r="Z137" s="849" t="s">
        <v>607</v>
      </c>
      <c r="AA137" s="849" t="s">
        <v>608</v>
      </c>
      <c r="AB137" s="849" t="s">
        <v>609</v>
      </c>
      <c r="AC137" s="849" t="s">
        <v>610</v>
      </c>
      <c r="AD137" s="849" t="s">
        <v>611</v>
      </c>
      <c r="AE137" s="849" t="s">
        <v>612</v>
      </c>
      <c r="AF137" s="848"/>
      <c r="AG137" s="848"/>
      <c r="AH137" s="848"/>
    </row>
    <row r="138" spans="1:34" ht="12.75" customHeight="1">
      <c r="A138" s="850" t="s">
        <v>606</v>
      </c>
      <c r="B138" s="851">
        <v>2005</v>
      </c>
      <c r="C138" s="852"/>
      <c r="D138" s="852"/>
      <c r="E138" s="852"/>
      <c r="F138" s="852"/>
      <c r="G138" s="852"/>
      <c r="H138" s="852"/>
      <c r="I138" s="852"/>
      <c r="J138" s="860"/>
      <c r="K138" s="861"/>
      <c r="L138" s="43"/>
      <c r="M138" s="43"/>
      <c r="N138" s="43"/>
      <c r="O138" s="43"/>
      <c r="P138" s="43"/>
      <c r="Q138" s="43"/>
      <c r="R138" s="43"/>
      <c r="S138" s="43"/>
      <c r="T138" s="43"/>
      <c r="U138" s="43"/>
      <c r="V138" s="43"/>
      <c r="W138" s="43"/>
      <c r="X138" s="43"/>
      <c r="Y138" s="43"/>
      <c r="Z138" s="43"/>
      <c r="AA138" s="43"/>
      <c r="AB138" s="43"/>
      <c r="AC138" s="43"/>
      <c r="AD138" s="43"/>
      <c r="AE138" s="43"/>
      <c r="AF138" s="859"/>
      <c r="AG138" s="859"/>
      <c r="AH138" s="859"/>
    </row>
    <row r="139" spans="1:34">
      <c r="A139" s="850" t="s">
        <v>229</v>
      </c>
      <c r="B139" s="851" t="s">
        <v>590</v>
      </c>
      <c r="C139" s="852"/>
      <c r="D139" s="852"/>
      <c r="E139" s="852"/>
      <c r="F139" s="852"/>
      <c r="G139" s="852"/>
      <c r="H139" s="852"/>
      <c r="I139" s="852"/>
      <c r="J139" s="860"/>
      <c r="K139" s="861"/>
      <c r="L139" s="44"/>
      <c r="M139" s="43"/>
      <c r="N139" s="43"/>
      <c r="O139" s="43"/>
      <c r="P139" s="43"/>
      <c r="Q139" s="43"/>
      <c r="R139" s="43"/>
      <c r="S139" s="43"/>
      <c r="T139" s="43"/>
      <c r="U139" s="43"/>
      <c r="V139" s="43"/>
      <c r="W139" s="43"/>
      <c r="X139" s="43"/>
      <c r="Y139" s="43"/>
      <c r="Z139" s="43"/>
      <c r="AA139" s="43"/>
      <c r="AB139" s="43"/>
      <c r="AC139" s="43"/>
      <c r="AD139" s="43"/>
      <c r="AE139" s="43"/>
      <c r="AF139" s="859"/>
      <c r="AG139" s="859"/>
      <c r="AH139" s="859"/>
    </row>
    <row r="140" spans="1:34">
      <c r="A140" s="850" t="s">
        <v>229</v>
      </c>
      <c r="B140" s="851" t="s">
        <v>591</v>
      </c>
      <c r="C140" s="852"/>
      <c r="D140" s="852"/>
      <c r="E140" s="852"/>
      <c r="F140" s="852"/>
      <c r="G140" s="852"/>
      <c r="H140" s="852"/>
      <c r="I140" s="852"/>
      <c r="J140" s="860"/>
      <c r="K140" s="861"/>
      <c r="L140" s="45"/>
      <c r="M140" s="44"/>
      <c r="N140" s="43"/>
      <c r="O140" s="43"/>
      <c r="P140" s="43"/>
      <c r="Q140" s="43"/>
      <c r="R140" s="43"/>
      <c r="S140" s="43"/>
      <c r="T140" s="43"/>
      <c r="U140" s="43"/>
      <c r="V140" s="43"/>
      <c r="W140" s="43"/>
      <c r="X140" s="43"/>
      <c r="Y140" s="43"/>
      <c r="Z140" s="43"/>
      <c r="AA140" s="43"/>
      <c r="AB140" s="43"/>
      <c r="AC140" s="43"/>
      <c r="AD140" s="43"/>
      <c r="AE140" s="43"/>
      <c r="AF140" s="859"/>
      <c r="AG140" s="859"/>
      <c r="AH140" s="859"/>
    </row>
    <row r="141" spans="1:34">
      <c r="A141" s="850" t="s">
        <v>229</v>
      </c>
      <c r="B141" s="851" t="s">
        <v>592</v>
      </c>
      <c r="C141" s="852"/>
      <c r="D141" s="852"/>
      <c r="E141" s="852"/>
      <c r="F141" s="852"/>
      <c r="G141" s="852"/>
      <c r="H141" s="852"/>
      <c r="I141" s="852"/>
      <c r="J141" s="860"/>
      <c r="K141" s="861"/>
      <c r="L141" s="45"/>
      <c r="M141" s="45"/>
      <c r="N141" s="44"/>
      <c r="O141" s="43"/>
      <c r="P141" s="43"/>
      <c r="Q141" s="43"/>
      <c r="R141" s="43"/>
      <c r="S141" s="43"/>
      <c r="T141" s="43"/>
      <c r="U141" s="43"/>
      <c r="V141" s="43"/>
      <c r="W141" s="43"/>
      <c r="X141" s="43"/>
      <c r="Y141" s="43"/>
      <c r="Z141" s="43"/>
      <c r="AA141" s="43"/>
      <c r="AB141" s="43"/>
      <c r="AC141" s="43"/>
      <c r="AD141" s="43"/>
      <c r="AE141" s="43"/>
      <c r="AF141" s="859"/>
      <c r="AG141" s="859"/>
      <c r="AH141" s="859"/>
    </row>
    <row r="142" spans="1:34">
      <c r="A142" s="850" t="s">
        <v>229</v>
      </c>
      <c r="B142" s="851" t="s">
        <v>593</v>
      </c>
      <c r="C142" s="852"/>
      <c r="D142" s="852"/>
      <c r="E142" s="852"/>
      <c r="F142" s="852"/>
      <c r="G142" s="852"/>
      <c r="H142" s="852"/>
      <c r="I142" s="852"/>
      <c r="J142" s="860"/>
      <c r="K142" s="861"/>
      <c r="L142" s="45"/>
      <c r="M142" s="45"/>
      <c r="N142" s="45"/>
      <c r="O142" s="44"/>
      <c r="P142" s="43"/>
      <c r="Q142" s="43"/>
      <c r="R142" s="43"/>
      <c r="S142" s="43"/>
      <c r="T142" s="43"/>
      <c r="U142" s="43"/>
      <c r="V142" s="43"/>
      <c r="W142" s="43"/>
      <c r="X142" s="43"/>
      <c r="Y142" s="43"/>
      <c r="Z142" s="43"/>
      <c r="AA142" s="43"/>
      <c r="AB142" s="43"/>
      <c r="AC142" s="43"/>
      <c r="AD142" s="43"/>
      <c r="AE142" s="43"/>
      <c r="AF142" s="859"/>
      <c r="AG142" s="859"/>
      <c r="AH142" s="859"/>
    </row>
    <row r="143" spans="1:34">
      <c r="A143" s="850" t="s">
        <v>229</v>
      </c>
      <c r="B143" s="851" t="s">
        <v>594</v>
      </c>
      <c r="C143" s="852"/>
      <c r="D143" s="852"/>
      <c r="E143" s="852"/>
      <c r="F143" s="852"/>
      <c r="G143" s="852"/>
      <c r="H143" s="852"/>
      <c r="I143" s="852"/>
      <c r="J143" s="860"/>
      <c r="K143" s="861"/>
      <c r="L143" s="45"/>
      <c r="M143" s="45"/>
      <c r="N143" s="45"/>
      <c r="O143" s="45"/>
      <c r="P143" s="44"/>
      <c r="Q143" s="43"/>
      <c r="R143" s="43"/>
      <c r="S143" s="43"/>
      <c r="T143" s="43"/>
      <c r="U143" s="43"/>
      <c r="V143" s="43"/>
      <c r="W143" s="43"/>
      <c r="X143" s="43"/>
      <c r="Y143" s="43"/>
      <c r="Z143" s="43"/>
      <c r="AA143" s="43"/>
      <c r="AB143" s="43"/>
      <c r="AC143" s="43"/>
      <c r="AD143" s="43"/>
      <c r="AE143" s="43"/>
      <c r="AF143" s="859"/>
      <c r="AG143" s="859"/>
      <c r="AH143" s="859"/>
    </row>
    <row r="144" spans="1:34">
      <c r="A144" s="850" t="s">
        <v>229</v>
      </c>
      <c r="B144" s="851" t="s">
        <v>595</v>
      </c>
      <c r="C144" s="836"/>
      <c r="D144" s="864"/>
      <c r="E144" s="865">
        <f>C144+D144</f>
        <v>0</v>
      </c>
      <c r="F144" s="864"/>
      <c r="G144" s="864"/>
      <c r="H144" s="865">
        <f>E144+F144+G144</f>
        <v>0</v>
      </c>
      <c r="I144" s="865">
        <f t="shared" ref="I144:I150" si="134">H144</f>
        <v>0</v>
      </c>
      <c r="J144" s="837"/>
      <c r="K144" s="861">
        <f>2.57%+2.54%</f>
        <v>5.1099999999999993E-2</v>
      </c>
      <c r="L144" s="45"/>
      <c r="M144" s="45"/>
      <c r="N144" s="45"/>
      <c r="O144" s="45"/>
      <c r="P144" s="45"/>
      <c r="Q144" s="868">
        <f>$H144*VLOOKUP(Q$33,$B$136:$K$158,10,FALSE)/365*268</f>
        <v>0</v>
      </c>
      <c r="R144" s="869">
        <f t="shared" ref="R144:AC144" si="135">$H144*VLOOKUP(R$33,$B$136:$K$158,10,FALSE)</f>
        <v>0</v>
      </c>
      <c r="S144" s="869">
        <f t="shared" si="135"/>
        <v>0</v>
      </c>
      <c r="T144" s="869">
        <f t="shared" si="135"/>
        <v>0</v>
      </c>
      <c r="U144" s="869">
        <f t="shared" si="135"/>
        <v>0</v>
      </c>
      <c r="V144" s="869">
        <f t="shared" si="135"/>
        <v>0</v>
      </c>
      <c r="W144" s="869">
        <f t="shared" si="135"/>
        <v>0</v>
      </c>
      <c r="X144" s="869">
        <f t="shared" si="135"/>
        <v>0</v>
      </c>
      <c r="Y144" s="869">
        <f t="shared" si="135"/>
        <v>0</v>
      </c>
      <c r="Z144" s="869">
        <f t="shared" si="135"/>
        <v>0</v>
      </c>
      <c r="AA144" s="869">
        <f t="shared" si="135"/>
        <v>0</v>
      </c>
      <c r="AB144" s="869">
        <f t="shared" si="135"/>
        <v>0</v>
      </c>
      <c r="AC144" s="869">
        <f t="shared" si="135"/>
        <v>0</v>
      </c>
      <c r="AD144" s="869">
        <f>SUM($I144*90%-SUM($Q144:$AC144))/2</f>
        <v>0</v>
      </c>
      <c r="AE144" s="869">
        <f>SUM($I144*90%-SUM($Q144:$AC144))/2</f>
        <v>0</v>
      </c>
      <c r="AF144" s="859"/>
      <c r="AG144" s="842">
        <f>IFERROR(SUM(Q144:AE144)/I144,0)</f>
        <v>0</v>
      </c>
      <c r="AH144" s="859">
        <f>I144-SUM(Q144:AE144)</f>
        <v>0</v>
      </c>
    </row>
    <row r="145" spans="1:34">
      <c r="A145" s="850" t="s">
        <v>229</v>
      </c>
      <c r="B145" s="851" t="s">
        <v>596</v>
      </c>
      <c r="C145" s="836"/>
      <c r="D145" s="864"/>
      <c r="E145" s="865">
        <f t="shared" ref="E145:E158" si="136">C145+D145</f>
        <v>0</v>
      </c>
      <c r="F145" s="864"/>
      <c r="G145" s="864"/>
      <c r="H145" s="865">
        <f t="shared" ref="H145:H158" si="137">E145+F145+G145</f>
        <v>0</v>
      </c>
      <c r="I145" s="865">
        <f t="shared" si="134"/>
        <v>0</v>
      </c>
      <c r="J145" s="837"/>
      <c r="K145" s="858">
        <v>2.5700000000000001E-2</v>
      </c>
      <c r="L145" s="45"/>
      <c r="M145" s="45"/>
      <c r="N145" s="45"/>
      <c r="O145" s="45"/>
      <c r="P145" s="45"/>
      <c r="Q145" s="870"/>
      <c r="R145" s="868">
        <f>$H145*VLOOKUP(R$33,$B$136:$K$158,10,FALSE)/365*121</f>
        <v>0</v>
      </c>
      <c r="S145" s="869">
        <f>$H145*VLOOKUP(S$33,$B$136:$K$158,10,FALSE)</f>
        <v>0</v>
      </c>
      <c r="T145" s="869">
        <f t="shared" ref="T145:AE145" si="138">$I145*VLOOKUP(T$33,$B$136:$K$158,10,FALSE)</f>
        <v>0</v>
      </c>
      <c r="U145" s="869">
        <f t="shared" si="138"/>
        <v>0</v>
      </c>
      <c r="V145" s="869">
        <f t="shared" si="138"/>
        <v>0</v>
      </c>
      <c r="W145" s="869">
        <f t="shared" si="138"/>
        <v>0</v>
      </c>
      <c r="X145" s="869">
        <f t="shared" si="138"/>
        <v>0</v>
      </c>
      <c r="Y145" s="869">
        <f t="shared" si="138"/>
        <v>0</v>
      </c>
      <c r="Z145" s="869">
        <f t="shared" si="138"/>
        <v>0</v>
      </c>
      <c r="AA145" s="869">
        <f t="shared" si="138"/>
        <v>0</v>
      </c>
      <c r="AB145" s="869">
        <f t="shared" si="138"/>
        <v>0</v>
      </c>
      <c r="AC145" s="869">
        <f t="shared" si="138"/>
        <v>0</v>
      </c>
      <c r="AD145" s="869">
        <f t="shared" si="138"/>
        <v>0</v>
      </c>
      <c r="AE145" s="869">
        <f t="shared" si="138"/>
        <v>0</v>
      </c>
      <c r="AF145" s="859"/>
      <c r="AG145" s="842">
        <f t="shared" ref="AG145:AG158" si="139">IFERROR(SUM(Q145:AE145)/I145,0)</f>
        <v>0</v>
      </c>
      <c r="AH145" s="859">
        <f t="shared" ref="AH145:AH158" si="140">I145-SUM(Q145:AE145)</f>
        <v>0</v>
      </c>
    </row>
    <row r="146" spans="1:34">
      <c r="A146" s="850" t="s">
        <v>229</v>
      </c>
      <c r="B146" s="851" t="s">
        <v>597</v>
      </c>
      <c r="C146" s="836"/>
      <c r="D146" s="864"/>
      <c r="E146" s="865">
        <f t="shared" si="136"/>
        <v>0</v>
      </c>
      <c r="F146" s="864"/>
      <c r="G146" s="864"/>
      <c r="H146" s="865">
        <f t="shared" si="137"/>
        <v>0</v>
      </c>
      <c r="I146" s="865">
        <f t="shared" si="134"/>
        <v>0</v>
      </c>
      <c r="J146" s="837"/>
      <c r="K146" s="858">
        <v>3.3399999999999999E-2</v>
      </c>
      <c r="L146" s="45"/>
      <c r="M146" s="45"/>
      <c r="N146" s="45"/>
      <c r="O146" s="45"/>
      <c r="P146" s="45"/>
      <c r="Q146" s="870"/>
      <c r="R146" s="871"/>
      <c r="S146" s="868">
        <f>$H146*VLOOKUP(S$33,$B$136:$K$158,10,FALSE)/2</f>
        <v>0</v>
      </c>
      <c r="T146" s="869">
        <f t="shared" ref="T146:AD146" si="141">$I146*VLOOKUP(T$33,$B$136:$K$158,10,FALSE)</f>
        <v>0</v>
      </c>
      <c r="U146" s="869">
        <f t="shared" si="141"/>
        <v>0</v>
      </c>
      <c r="V146" s="869">
        <f t="shared" si="141"/>
        <v>0</v>
      </c>
      <c r="W146" s="869">
        <f t="shared" si="141"/>
        <v>0</v>
      </c>
      <c r="X146" s="869">
        <f t="shared" si="141"/>
        <v>0</v>
      </c>
      <c r="Y146" s="869">
        <f t="shared" si="141"/>
        <v>0</v>
      </c>
      <c r="Z146" s="869">
        <f t="shared" si="141"/>
        <v>0</v>
      </c>
      <c r="AA146" s="869">
        <f t="shared" si="141"/>
        <v>0</v>
      </c>
      <c r="AB146" s="869">
        <f t="shared" si="141"/>
        <v>0</v>
      </c>
      <c r="AC146" s="869">
        <f t="shared" si="141"/>
        <v>0</v>
      </c>
      <c r="AD146" s="869">
        <f t="shared" si="141"/>
        <v>0</v>
      </c>
      <c r="AE146" s="869">
        <f>SUM($I146*90%-SUM($R146:$AD146))/3</f>
        <v>0</v>
      </c>
      <c r="AF146" s="859"/>
      <c r="AG146" s="842">
        <f t="shared" si="139"/>
        <v>0</v>
      </c>
      <c r="AH146" s="859">
        <f t="shared" si="140"/>
        <v>0</v>
      </c>
    </row>
    <row r="147" spans="1:34">
      <c r="A147" s="850" t="s">
        <v>229</v>
      </c>
      <c r="B147" s="851" t="s">
        <v>598</v>
      </c>
      <c r="C147" s="836"/>
      <c r="D147" s="864"/>
      <c r="E147" s="865">
        <f t="shared" si="136"/>
        <v>0</v>
      </c>
      <c r="F147" s="865"/>
      <c r="G147" s="865"/>
      <c r="H147" s="865">
        <f t="shared" si="137"/>
        <v>0</v>
      </c>
      <c r="I147" s="865">
        <f t="shared" si="134"/>
        <v>0</v>
      </c>
      <c r="J147" s="837"/>
      <c r="K147" s="858">
        <v>3.3399999999999999E-2</v>
      </c>
      <c r="L147" s="45"/>
      <c r="M147" s="45"/>
      <c r="N147" s="45"/>
      <c r="O147" s="45"/>
      <c r="P147" s="45"/>
      <c r="Q147" s="870"/>
      <c r="R147" s="871"/>
      <c r="S147" s="871"/>
      <c r="T147" s="868">
        <f>$H147*VLOOKUP(T$33,$B$136:$K$158,10,FALSE)</f>
        <v>0</v>
      </c>
      <c r="U147" s="869">
        <f t="shared" ref="U147:AE147" si="142">$I147*VLOOKUP(U$33,$B$136:$K$158,10,FALSE)</f>
        <v>0</v>
      </c>
      <c r="V147" s="869">
        <f t="shared" si="142"/>
        <v>0</v>
      </c>
      <c r="W147" s="869">
        <f t="shared" si="142"/>
        <v>0</v>
      </c>
      <c r="X147" s="869">
        <f t="shared" si="142"/>
        <v>0</v>
      </c>
      <c r="Y147" s="869">
        <f t="shared" si="142"/>
        <v>0</v>
      </c>
      <c r="Z147" s="869">
        <f t="shared" si="142"/>
        <v>0</v>
      </c>
      <c r="AA147" s="869">
        <f t="shared" si="142"/>
        <v>0</v>
      </c>
      <c r="AB147" s="869">
        <f t="shared" si="142"/>
        <v>0</v>
      </c>
      <c r="AC147" s="869">
        <f t="shared" si="142"/>
        <v>0</v>
      </c>
      <c r="AD147" s="869">
        <f t="shared" si="142"/>
        <v>0</v>
      </c>
      <c r="AE147" s="869">
        <f t="shared" si="142"/>
        <v>0</v>
      </c>
      <c r="AF147" s="859"/>
      <c r="AG147" s="842">
        <f t="shared" si="139"/>
        <v>0</v>
      </c>
      <c r="AH147" s="859">
        <f t="shared" si="140"/>
        <v>0</v>
      </c>
    </row>
    <row r="148" spans="1:34">
      <c r="A148" s="850" t="s">
        <v>229</v>
      </c>
      <c r="B148" s="851" t="s">
        <v>599</v>
      </c>
      <c r="C148" s="836"/>
      <c r="D148" s="864"/>
      <c r="E148" s="865">
        <f t="shared" si="136"/>
        <v>0</v>
      </c>
      <c r="F148" s="865"/>
      <c r="G148" s="865"/>
      <c r="H148" s="865">
        <f t="shared" si="137"/>
        <v>0</v>
      </c>
      <c r="I148" s="865">
        <f t="shared" si="134"/>
        <v>0</v>
      </c>
      <c r="J148" s="837"/>
      <c r="K148" s="858">
        <v>3.3399999999999999E-2</v>
      </c>
      <c r="L148" s="45"/>
      <c r="M148" s="45"/>
      <c r="N148" s="45"/>
      <c r="O148" s="45"/>
      <c r="P148" s="45"/>
      <c r="Q148" s="870"/>
      <c r="R148" s="871"/>
      <c r="S148" s="871"/>
      <c r="T148" s="871"/>
      <c r="U148" s="868"/>
      <c r="V148" s="869"/>
      <c r="W148" s="869"/>
      <c r="X148" s="869"/>
      <c r="Y148" s="869"/>
      <c r="Z148" s="869"/>
      <c r="AA148" s="869"/>
      <c r="AB148" s="869"/>
      <c r="AC148" s="869"/>
      <c r="AD148" s="869"/>
      <c r="AE148" s="869"/>
      <c r="AF148" s="859"/>
      <c r="AG148" s="842">
        <f t="shared" si="139"/>
        <v>0</v>
      </c>
      <c r="AH148" s="859">
        <f t="shared" si="140"/>
        <v>0</v>
      </c>
    </row>
    <row r="149" spans="1:34">
      <c r="A149" s="850" t="s">
        <v>229</v>
      </c>
      <c r="B149" s="851" t="s">
        <v>600</v>
      </c>
      <c r="C149" s="836"/>
      <c r="D149" s="864"/>
      <c r="E149" s="865">
        <f t="shared" si="136"/>
        <v>0</v>
      </c>
      <c r="F149" s="865"/>
      <c r="G149" s="865"/>
      <c r="H149" s="865">
        <f t="shared" si="137"/>
        <v>0</v>
      </c>
      <c r="I149" s="865">
        <f t="shared" si="134"/>
        <v>0</v>
      </c>
      <c r="J149" s="837"/>
      <c r="K149" s="858">
        <v>3.3399999999999999E-2</v>
      </c>
      <c r="L149" s="45"/>
      <c r="M149" s="45"/>
      <c r="N149" s="45"/>
      <c r="O149" s="45"/>
      <c r="P149" s="45"/>
      <c r="Q149" s="870"/>
      <c r="R149" s="871"/>
      <c r="S149" s="871"/>
      <c r="T149" s="871"/>
      <c r="U149" s="871"/>
      <c r="V149" s="868">
        <f>$H149*VLOOKUP(V$33,$B$136:$K$158,10,FALSE)</f>
        <v>0</v>
      </c>
      <c r="W149" s="869">
        <f t="shared" ref="W149:AE149" si="143">$I149*VLOOKUP(W$33,$B$136:$K$158,10,FALSE)</f>
        <v>0</v>
      </c>
      <c r="X149" s="869">
        <f t="shared" si="143"/>
        <v>0</v>
      </c>
      <c r="Y149" s="869">
        <f t="shared" si="143"/>
        <v>0</v>
      </c>
      <c r="Z149" s="869">
        <f t="shared" si="143"/>
        <v>0</v>
      </c>
      <c r="AA149" s="869">
        <f t="shared" si="143"/>
        <v>0</v>
      </c>
      <c r="AB149" s="869">
        <f t="shared" si="143"/>
        <v>0</v>
      </c>
      <c r="AC149" s="869">
        <f t="shared" si="143"/>
        <v>0</v>
      </c>
      <c r="AD149" s="869">
        <f t="shared" si="143"/>
        <v>0</v>
      </c>
      <c r="AE149" s="869">
        <f t="shared" si="143"/>
        <v>0</v>
      </c>
      <c r="AF149" s="859"/>
      <c r="AG149" s="842">
        <f t="shared" si="139"/>
        <v>0</v>
      </c>
      <c r="AH149" s="859">
        <f t="shared" si="140"/>
        <v>0</v>
      </c>
    </row>
    <row r="150" spans="1:34">
      <c r="A150" s="850" t="s">
        <v>229</v>
      </c>
      <c r="B150" s="851" t="s">
        <v>601</v>
      </c>
      <c r="C150" s="864"/>
      <c r="D150" s="864"/>
      <c r="E150" s="865">
        <f t="shared" si="136"/>
        <v>0</v>
      </c>
      <c r="F150" s="865"/>
      <c r="G150" s="865"/>
      <c r="H150" s="865">
        <f t="shared" si="137"/>
        <v>0</v>
      </c>
      <c r="I150" s="865">
        <f t="shared" si="134"/>
        <v>0</v>
      </c>
      <c r="J150" s="837"/>
      <c r="K150" s="858">
        <v>3.3399999999999999E-2</v>
      </c>
      <c r="L150" s="45"/>
      <c r="M150" s="45"/>
      <c r="N150" s="45"/>
      <c r="O150" s="45"/>
      <c r="P150" s="45"/>
      <c r="Q150" s="870"/>
      <c r="R150" s="871"/>
      <c r="S150" s="871"/>
      <c r="T150" s="871"/>
      <c r="U150" s="871"/>
      <c r="V150" s="871"/>
      <c r="W150" s="868">
        <f>$H150*VLOOKUP(W$33,$B$136:$K$158,10,FALSE)/2</f>
        <v>0</v>
      </c>
      <c r="X150" s="869">
        <f t="shared" ref="X150:AE150" si="144">$I150*VLOOKUP(X$33,$B$136:$K$158,10,FALSE)</f>
        <v>0</v>
      </c>
      <c r="Y150" s="869">
        <f t="shared" si="144"/>
        <v>0</v>
      </c>
      <c r="Z150" s="869">
        <f t="shared" si="144"/>
        <v>0</v>
      </c>
      <c r="AA150" s="869">
        <f t="shared" si="144"/>
        <v>0</v>
      </c>
      <c r="AB150" s="869">
        <f t="shared" si="144"/>
        <v>0</v>
      </c>
      <c r="AC150" s="869">
        <f t="shared" si="144"/>
        <v>0</v>
      </c>
      <c r="AD150" s="869">
        <f t="shared" si="144"/>
        <v>0</v>
      </c>
      <c r="AE150" s="869">
        <f t="shared" si="144"/>
        <v>0</v>
      </c>
      <c r="AF150" s="859"/>
      <c r="AG150" s="842">
        <f t="shared" si="139"/>
        <v>0</v>
      </c>
      <c r="AH150" s="859">
        <f t="shared" si="140"/>
        <v>0</v>
      </c>
    </row>
    <row r="151" spans="1:34">
      <c r="A151" s="850" t="s">
        <v>229</v>
      </c>
      <c r="B151" s="851" t="s">
        <v>602</v>
      </c>
      <c r="C151" s="864"/>
      <c r="D151" s="864"/>
      <c r="E151" s="865">
        <f t="shared" si="136"/>
        <v>0</v>
      </c>
      <c r="F151" s="865"/>
      <c r="G151" s="865"/>
      <c r="H151" s="865">
        <f t="shared" si="137"/>
        <v>0</v>
      </c>
      <c r="I151" s="865">
        <f>H151</f>
        <v>0</v>
      </c>
      <c r="J151" s="837"/>
      <c r="K151" s="858">
        <v>3.3399999999999999E-2</v>
      </c>
      <c r="L151" s="45"/>
      <c r="M151" s="45"/>
      <c r="N151" s="45"/>
      <c r="O151" s="45"/>
      <c r="P151" s="45"/>
      <c r="Q151" s="870"/>
      <c r="R151" s="871"/>
      <c r="S151" s="871"/>
      <c r="T151" s="871"/>
      <c r="U151" s="871"/>
      <c r="V151" s="871"/>
      <c r="W151" s="871"/>
      <c r="X151" s="868">
        <f>$H151*VLOOKUP(X$33,$B$136:$K$158,10,FALSE)/2</f>
        <v>0</v>
      </c>
      <c r="Y151" s="869">
        <f t="shared" ref="Y151:AE151" si="145">$I151*VLOOKUP(Y$33,$B$136:$K$158,10,FALSE)</f>
        <v>0</v>
      </c>
      <c r="Z151" s="869">
        <f t="shared" si="145"/>
        <v>0</v>
      </c>
      <c r="AA151" s="869">
        <f t="shared" si="145"/>
        <v>0</v>
      </c>
      <c r="AB151" s="869">
        <f t="shared" si="145"/>
        <v>0</v>
      </c>
      <c r="AC151" s="869">
        <f t="shared" si="145"/>
        <v>0</v>
      </c>
      <c r="AD151" s="869">
        <f t="shared" si="145"/>
        <v>0</v>
      </c>
      <c r="AE151" s="869">
        <f t="shared" si="145"/>
        <v>0</v>
      </c>
      <c r="AF151" s="859"/>
      <c r="AG151" s="842">
        <f t="shared" si="139"/>
        <v>0</v>
      </c>
      <c r="AH151" s="859">
        <f t="shared" si="140"/>
        <v>0</v>
      </c>
    </row>
    <row r="152" spans="1:34">
      <c r="A152" s="850" t="s">
        <v>229</v>
      </c>
      <c r="B152" s="851" t="s">
        <v>603</v>
      </c>
      <c r="C152" s="864"/>
      <c r="D152" s="865"/>
      <c r="E152" s="865">
        <f t="shared" si="136"/>
        <v>0</v>
      </c>
      <c r="F152" s="865"/>
      <c r="G152" s="865"/>
      <c r="H152" s="865">
        <f t="shared" si="137"/>
        <v>0</v>
      </c>
      <c r="I152" s="865">
        <f>H152</f>
        <v>0</v>
      </c>
      <c r="J152" s="837"/>
      <c r="K152" s="858">
        <v>3.3399999999999999E-2</v>
      </c>
      <c r="L152" s="45"/>
      <c r="M152" s="45"/>
      <c r="N152" s="45"/>
      <c r="O152" s="45"/>
      <c r="P152" s="45"/>
      <c r="Q152" s="870"/>
      <c r="R152" s="871"/>
      <c r="S152" s="871"/>
      <c r="T152" s="871"/>
      <c r="U152" s="871"/>
      <c r="V152" s="871"/>
      <c r="W152" s="871"/>
      <c r="X152" s="871"/>
      <c r="Y152" s="868">
        <f>$H152*VLOOKUP(Y$33,$B$136:$K$158,10,FALSE)/2</f>
        <v>0</v>
      </c>
      <c r="Z152" s="869">
        <f t="shared" ref="Z152:AE152" si="146">$I152*VLOOKUP(Z$33,$B$136:$K$158,10,FALSE)</f>
        <v>0</v>
      </c>
      <c r="AA152" s="869">
        <f t="shared" si="146"/>
        <v>0</v>
      </c>
      <c r="AB152" s="869">
        <f t="shared" si="146"/>
        <v>0</v>
      </c>
      <c r="AC152" s="869">
        <f t="shared" si="146"/>
        <v>0</v>
      </c>
      <c r="AD152" s="869">
        <f t="shared" si="146"/>
        <v>0</v>
      </c>
      <c r="AE152" s="869">
        <f t="shared" si="146"/>
        <v>0</v>
      </c>
      <c r="AF152" s="859"/>
      <c r="AG152" s="842">
        <f t="shared" si="139"/>
        <v>0</v>
      </c>
      <c r="AH152" s="859">
        <f t="shared" si="140"/>
        <v>0</v>
      </c>
    </row>
    <row r="153" spans="1:34">
      <c r="A153" s="850" t="s">
        <v>229</v>
      </c>
      <c r="B153" s="851" t="s">
        <v>607</v>
      </c>
      <c r="C153" s="865"/>
      <c r="D153" s="865"/>
      <c r="E153" s="865">
        <f t="shared" si="136"/>
        <v>0</v>
      </c>
      <c r="F153" s="865"/>
      <c r="G153" s="865"/>
      <c r="H153" s="865">
        <f t="shared" si="137"/>
        <v>0</v>
      </c>
      <c r="I153" s="865">
        <f t="shared" ref="I153:I158" si="147">H153</f>
        <v>0</v>
      </c>
      <c r="J153" s="837"/>
      <c r="K153" s="858">
        <v>3.3399999999999999E-2</v>
      </c>
      <c r="L153" s="45"/>
      <c r="M153" s="45"/>
      <c r="N153" s="45"/>
      <c r="O153" s="45"/>
      <c r="P153" s="45"/>
      <c r="Q153" s="870"/>
      <c r="R153" s="871"/>
      <c r="S153" s="871"/>
      <c r="T153" s="871"/>
      <c r="U153" s="871"/>
      <c r="V153" s="871"/>
      <c r="W153" s="871"/>
      <c r="X153" s="871"/>
      <c r="Y153" s="871"/>
      <c r="Z153" s="868">
        <f>$H153*VLOOKUP(Z$33,$B$136:$K$158,10,FALSE)/2</f>
        <v>0</v>
      </c>
      <c r="AA153" s="869">
        <f>$I153*VLOOKUP(AA$33,$B$136:$K$158,10,FALSE)</f>
        <v>0</v>
      </c>
      <c r="AB153" s="869">
        <f>$I153*VLOOKUP(AB$33,$B$136:$K$158,10,FALSE)</f>
        <v>0</v>
      </c>
      <c r="AC153" s="869">
        <f>$I153*VLOOKUP(AC$33,$B$136:$K$158,10,FALSE)</f>
        <v>0</v>
      </c>
      <c r="AD153" s="869">
        <f>$I153*VLOOKUP(AD$33,$B$136:$K$158,10,FALSE)</f>
        <v>0</v>
      </c>
      <c r="AE153" s="869">
        <f>$I153*VLOOKUP(AE$33,$B$136:$K$158,10,FALSE)</f>
        <v>0</v>
      </c>
      <c r="AF153" s="859"/>
      <c r="AG153" s="842">
        <f t="shared" si="139"/>
        <v>0</v>
      </c>
      <c r="AH153" s="859">
        <f t="shared" si="140"/>
        <v>0</v>
      </c>
    </row>
    <row r="154" spans="1:34">
      <c r="A154" s="850" t="s">
        <v>229</v>
      </c>
      <c r="B154" s="851" t="s">
        <v>608</v>
      </c>
      <c r="C154" s="865">
        <f>'F4'!S36</f>
        <v>2.0051999999999999</v>
      </c>
      <c r="D154" s="865"/>
      <c r="E154" s="865">
        <f t="shared" si="136"/>
        <v>2.0051999999999999</v>
      </c>
      <c r="F154" s="865"/>
      <c r="G154" s="865"/>
      <c r="H154" s="865">
        <f t="shared" si="137"/>
        <v>2.0051999999999999</v>
      </c>
      <c r="I154" s="865">
        <f t="shared" si="147"/>
        <v>2.0051999999999999</v>
      </c>
      <c r="J154" s="837"/>
      <c r="K154" s="858">
        <v>3.3399999999999999E-2</v>
      </c>
      <c r="L154" s="45"/>
      <c r="M154" s="45"/>
      <c r="N154" s="45"/>
      <c r="O154" s="45"/>
      <c r="P154" s="45"/>
      <c r="Q154" s="870"/>
      <c r="R154" s="871"/>
      <c r="S154" s="871"/>
      <c r="T154" s="871"/>
      <c r="U154" s="871"/>
      <c r="V154" s="871"/>
      <c r="W154" s="871"/>
      <c r="X154" s="871"/>
      <c r="Y154" s="871"/>
      <c r="Z154" s="871"/>
      <c r="AA154" s="868">
        <f>$H154*VLOOKUP(AA$33,$B$136:$K$158,10,FALSE)/2</f>
        <v>3.3486839999999997E-2</v>
      </c>
      <c r="AB154" s="869">
        <f>$I154*VLOOKUP(AB$33,$B$136:$K$158,10,FALSE)</f>
        <v>6.6973679999999994E-2</v>
      </c>
      <c r="AC154" s="869">
        <f>$I154*VLOOKUP(AC$33,$B$136:$K$158,10,FALSE)</f>
        <v>6.6973679999999994E-2</v>
      </c>
      <c r="AD154" s="869">
        <f>$I154*VLOOKUP(AD$33,$B$136:$K$158,10,FALSE)</f>
        <v>6.6973679999999994E-2</v>
      </c>
      <c r="AE154" s="869">
        <f>$I154*VLOOKUP(AE$33,$B$136:$K$158,10,FALSE)</f>
        <v>6.6973679999999994E-2</v>
      </c>
      <c r="AF154" s="859"/>
      <c r="AG154" s="842">
        <f t="shared" si="139"/>
        <v>0.15029999999999999</v>
      </c>
      <c r="AH154" s="859">
        <f t="shared" si="140"/>
        <v>1.70381844</v>
      </c>
    </row>
    <row r="155" spans="1:34">
      <c r="A155" s="850" t="s">
        <v>229</v>
      </c>
      <c r="B155" s="851" t="s">
        <v>609</v>
      </c>
      <c r="C155" s="865"/>
      <c r="D155" s="865"/>
      <c r="E155" s="865">
        <f t="shared" si="136"/>
        <v>0</v>
      </c>
      <c r="F155" s="865"/>
      <c r="G155" s="865"/>
      <c r="H155" s="865">
        <f t="shared" si="137"/>
        <v>0</v>
      </c>
      <c r="I155" s="865">
        <f t="shared" si="147"/>
        <v>0</v>
      </c>
      <c r="J155" s="837"/>
      <c r="K155" s="858">
        <v>3.3399999999999999E-2</v>
      </c>
      <c r="L155" s="45"/>
      <c r="M155" s="45"/>
      <c r="N155" s="45"/>
      <c r="O155" s="45"/>
      <c r="P155" s="45"/>
      <c r="Q155" s="870"/>
      <c r="R155" s="871"/>
      <c r="S155" s="871"/>
      <c r="T155" s="871"/>
      <c r="U155" s="871"/>
      <c r="V155" s="871"/>
      <c r="W155" s="871"/>
      <c r="X155" s="871"/>
      <c r="Y155" s="871"/>
      <c r="Z155" s="871"/>
      <c r="AA155" s="871"/>
      <c r="AB155" s="868">
        <f>$H155*VLOOKUP(AB$33,$B$136:$K$158,10,FALSE)/2</f>
        <v>0</v>
      </c>
      <c r="AC155" s="869">
        <f>$I155*VLOOKUP(AC$33,$B$136:$K$158,10,FALSE)</f>
        <v>0</v>
      </c>
      <c r="AD155" s="869">
        <f>$I155*VLOOKUP(AD$33,$B$136:$K$158,10,FALSE)</f>
        <v>0</v>
      </c>
      <c r="AE155" s="869">
        <f>$I155*VLOOKUP(AE$33,$B$136:$K$158,10,FALSE)</f>
        <v>0</v>
      </c>
      <c r="AF155" s="859"/>
      <c r="AG155" s="842">
        <f t="shared" si="139"/>
        <v>0</v>
      </c>
      <c r="AH155" s="859">
        <f t="shared" si="140"/>
        <v>0</v>
      </c>
    </row>
    <row r="156" spans="1:34">
      <c r="A156" s="850" t="s">
        <v>229</v>
      </c>
      <c r="B156" s="851" t="s">
        <v>610</v>
      </c>
      <c r="C156" s="865"/>
      <c r="D156" s="865"/>
      <c r="E156" s="865">
        <f t="shared" si="136"/>
        <v>0</v>
      </c>
      <c r="F156" s="865"/>
      <c r="G156" s="865"/>
      <c r="H156" s="865">
        <f t="shared" si="137"/>
        <v>0</v>
      </c>
      <c r="I156" s="865">
        <f t="shared" si="147"/>
        <v>0</v>
      </c>
      <c r="J156" s="837"/>
      <c r="K156" s="858">
        <v>3.3399999999999999E-2</v>
      </c>
      <c r="L156" s="45"/>
      <c r="M156" s="45"/>
      <c r="N156" s="45"/>
      <c r="O156" s="45"/>
      <c r="P156" s="45"/>
      <c r="Q156" s="870"/>
      <c r="R156" s="871"/>
      <c r="S156" s="871"/>
      <c r="T156" s="871"/>
      <c r="U156" s="871"/>
      <c r="V156" s="871"/>
      <c r="W156" s="871"/>
      <c r="X156" s="871"/>
      <c r="Y156" s="871"/>
      <c r="Z156" s="871"/>
      <c r="AA156" s="871"/>
      <c r="AB156" s="871"/>
      <c r="AC156" s="868">
        <f>$H156*VLOOKUP(AC$33,$B$136:$K$158,10,FALSE)/2</f>
        <v>0</v>
      </c>
      <c r="AD156" s="869">
        <f>$I156*VLOOKUP(AD$33,$B$136:$K$158,10,FALSE)</f>
        <v>0</v>
      </c>
      <c r="AE156" s="869">
        <f>$I156*VLOOKUP(AE$33,$B$136:$K$158,10,FALSE)</f>
        <v>0</v>
      </c>
      <c r="AF156" s="859"/>
      <c r="AG156" s="842">
        <f t="shared" si="139"/>
        <v>0</v>
      </c>
      <c r="AH156" s="859">
        <f t="shared" si="140"/>
        <v>0</v>
      </c>
    </row>
    <row r="157" spans="1:34">
      <c r="A157" s="850" t="s">
        <v>229</v>
      </c>
      <c r="B157" s="851" t="s">
        <v>611</v>
      </c>
      <c r="C157" s="865"/>
      <c r="D157" s="865"/>
      <c r="E157" s="865">
        <f t="shared" si="136"/>
        <v>0</v>
      </c>
      <c r="F157" s="865"/>
      <c r="G157" s="865"/>
      <c r="H157" s="865">
        <f t="shared" si="137"/>
        <v>0</v>
      </c>
      <c r="I157" s="865">
        <f t="shared" si="147"/>
        <v>0</v>
      </c>
      <c r="J157" s="837"/>
      <c r="K157" s="858">
        <v>3.3399999999999999E-2</v>
      </c>
      <c r="L157" s="45"/>
      <c r="M157" s="45"/>
      <c r="N157" s="45"/>
      <c r="O157" s="45"/>
      <c r="P157" s="45"/>
      <c r="Q157" s="870"/>
      <c r="R157" s="871"/>
      <c r="S157" s="871"/>
      <c r="T157" s="871"/>
      <c r="U157" s="871"/>
      <c r="V157" s="871"/>
      <c r="W157" s="871"/>
      <c r="X157" s="871"/>
      <c r="Y157" s="871"/>
      <c r="Z157" s="871"/>
      <c r="AA157" s="871"/>
      <c r="AB157" s="871"/>
      <c r="AC157" s="871"/>
      <c r="AD157" s="868">
        <f>$H157*VLOOKUP(AD$33,$B$136:$K$158,10,FALSE)/2</f>
        <v>0</v>
      </c>
      <c r="AE157" s="869">
        <f>$I157*VLOOKUP(AE$33,$B$136:$K$158,10,FALSE)</f>
        <v>0</v>
      </c>
      <c r="AF157" s="859"/>
      <c r="AG157" s="842">
        <f t="shared" si="139"/>
        <v>0</v>
      </c>
      <c r="AH157" s="859">
        <f t="shared" si="140"/>
        <v>0</v>
      </c>
    </row>
    <row r="158" spans="1:34">
      <c r="A158" s="850" t="s">
        <v>229</v>
      </c>
      <c r="B158" s="851" t="s">
        <v>612</v>
      </c>
      <c r="C158" s="865"/>
      <c r="D158" s="865"/>
      <c r="E158" s="865">
        <f t="shared" si="136"/>
        <v>0</v>
      </c>
      <c r="F158" s="865"/>
      <c r="G158" s="865"/>
      <c r="H158" s="865">
        <f t="shared" si="137"/>
        <v>0</v>
      </c>
      <c r="I158" s="865">
        <f t="shared" si="147"/>
        <v>0</v>
      </c>
      <c r="J158" s="837"/>
      <c r="K158" s="858">
        <v>3.3399999999999999E-2</v>
      </c>
      <c r="L158" s="45"/>
      <c r="M158" s="45"/>
      <c r="N158" s="45"/>
      <c r="O158" s="45"/>
      <c r="P158" s="45"/>
      <c r="Q158" s="870"/>
      <c r="R158" s="871"/>
      <c r="S158" s="871"/>
      <c r="T158" s="871"/>
      <c r="U158" s="871"/>
      <c r="V158" s="871"/>
      <c r="W158" s="871"/>
      <c r="X158" s="871"/>
      <c r="Y158" s="871"/>
      <c r="Z158" s="871"/>
      <c r="AA158" s="871"/>
      <c r="AB158" s="871"/>
      <c r="AC158" s="871"/>
      <c r="AD158" s="871"/>
      <c r="AE158" s="868">
        <f>$H158*VLOOKUP(AE$33,$B$136:$K$158,10,FALSE)/2</f>
        <v>0</v>
      </c>
      <c r="AF158" s="859"/>
      <c r="AG158" s="842">
        <f t="shared" si="139"/>
        <v>0</v>
      </c>
      <c r="AH158" s="859">
        <f t="shared" si="140"/>
        <v>0</v>
      </c>
    </row>
    <row r="159" spans="1:34">
      <c r="A159" s="853" t="s">
        <v>613</v>
      </c>
      <c r="B159" s="854" t="s">
        <v>23</v>
      </c>
      <c r="C159" s="866">
        <f>SUM(C144:C158)</f>
        <v>2.0051999999999999</v>
      </c>
      <c r="D159" s="866">
        <f>SUM(D144:D158)</f>
        <v>0</v>
      </c>
      <c r="E159" s="866">
        <f>SUM(E144:E158)</f>
        <v>2.0051999999999999</v>
      </c>
      <c r="F159" s="866">
        <f t="shared" ref="F159:J159" si="148">SUM(F144:F158)</f>
        <v>0</v>
      </c>
      <c r="G159" s="866">
        <f t="shared" si="148"/>
        <v>0</v>
      </c>
      <c r="H159" s="866">
        <f t="shared" si="148"/>
        <v>2.0051999999999999</v>
      </c>
      <c r="I159" s="866">
        <f t="shared" si="148"/>
        <v>2.0051999999999999</v>
      </c>
      <c r="J159" s="855">
        <f t="shared" si="148"/>
        <v>0</v>
      </c>
      <c r="K159" s="855"/>
      <c r="L159" s="855">
        <f t="shared" ref="L159:P159" si="149">SUM(L144:L158)</f>
        <v>0</v>
      </c>
      <c r="M159" s="855">
        <f t="shared" si="149"/>
        <v>0</v>
      </c>
      <c r="N159" s="855">
        <f t="shared" si="149"/>
        <v>0</v>
      </c>
      <c r="O159" s="855">
        <f t="shared" si="149"/>
        <v>0</v>
      </c>
      <c r="P159" s="855">
        <f t="shared" si="149"/>
        <v>0</v>
      </c>
      <c r="Q159" s="872">
        <f>SUM(Q138:Q158)</f>
        <v>0</v>
      </c>
      <c r="R159" s="872">
        <f t="shared" ref="R159" si="150">SUM(R138:R158)</f>
        <v>0</v>
      </c>
      <c r="S159" s="872">
        <f t="shared" ref="S159" si="151">SUM(S138:S158)</f>
        <v>0</v>
      </c>
      <c r="T159" s="872">
        <f t="shared" ref="T159" si="152">SUM(T138:T158)</f>
        <v>0</v>
      </c>
      <c r="U159" s="872">
        <f t="shared" ref="U159" si="153">SUM(U138:U158)</f>
        <v>0</v>
      </c>
      <c r="V159" s="872">
        <f t="shared" ref="V159" si="154">SUM(V138:V158)</f>
        <v>0</v>
      </c>
      <c r="W159" s="872">
        <f t="shared" ref="W159" si="155">SUM(W138:W158)</f>
        <v>0</v>
      </c>
      <c r="X159" s="872">
        <f t="shared" ref="X159" si="156">SUM(X138:X158)</f>
        <v>0</v>
      </c>
      <c r="Y159" s="872">
        <f t="shared" ref="Y159" si="157">SUM(Y138:Y158)</f>
        <v>0</v>
      </c>
      <c r="Z159" s="872">
        <f t="shared" ref="Z159" si="158">SUM(Z138:Z158)</f>
        <v>0</v>
      </c>
      <c r="AA159" s="872">
        <f t="shared" ref="AA159" si="159">SUM(AA138:AA158)</f>
        <v>3.3486839999999997E-2</v>
      </c>
      <c r="AB159" s="872">
        <f t="shared" ref="AB159" si="160">SUM(AB138:AB158)</f>
        <v>6.6973679999999994E-2</v>
      </c>
      <c r="AC159" s="872">
        <f t="shared" ref="AC159" si="161">SUM(AC138:AC158)</f>
        <v>6.6973679999999994E-2</v>
      </c>
      <c r="AD159" s="872">
        <f t="shared" ref="AD159" si="162">SUM(AD138:AD158)</f>
        <v>6.6973679999999994E-2</v>
      </c>
      <c r="AE159" s="872">
        <f t="shared" ref="AE159" si="163">SUM(AE138:AE158)</f>
        <v>6.6973679999999994E-2</v>
      </c>
      <c r="AF159" s="839">
        <f t="shared" ref="AF159" si="164">SUM(AF144:AF158)</f>
        <v>0</v>
      </c>
      <c r="AG159" s="839"/>
      <c r="AH159" s="839">
        <f t="shared" ref="AH159" si="165">SUM(AH144:AH158)</f>
        <v>1.70381844</v>
      </c>
    </row>
    <row r="161" spans="1:34">
      <c r="B161" s="844" t="s">
        <v>23</v>
      </c>
      <c r="L161" s="846" t="s">
        <v>33</v>
      </c>
    </row>
    <row r="162" spans="1:34" ht="30">
      <c r="A162" s="847"/>
      <c r="B162" s="857" t="s">
        <v>431</v>
      </c>
      <c r="C162" s="1221" t="s">
        <v>229</v>
      </c>
      <c r="D162" s="1221" t="s">
        <v>934</v>
      </c>
      <c r="E162" s="1221" t="s">
        <v>935</v>
      </c>
      <c r="F162" s="1221" t="s">
        <v>936</v>
      </c>
      <c r="G162" s="1221" t="s">
        <v>937</v>
      </c>
      <c r="H162" s="1221" t="s">
        <v>938</v>
      </c>
      <c r="I162" s="1221" t="s">
        <v>939</v>
      </c>
      <c r="J162" s="1223" t="s">
        <v>589</v>
      </c>
      <c r="K162" s="1223" t="s">
        <v>641</v>
      </c>
      <c r="L162" s="1226" t="s">
        <v>642</v>
      </c>
      <c r="M162" s="1226"/>
      <c r="N162" s="1226"/>
      <c r="O162" s="1226"/>
      <c r="P162" s="1226"/>
      <c r="Q162" s="1226"/>
      <c r="R162" s="1226"/>
      <c r="S162" s="1226"/>
      <c r="T162" s="1226"/>
      <c r="U162" s="1226"/>
      <c r="V162" s="1226"/>
      <c r="W162" s="1226"/>
      <c r="X162" s="1226"/>
      <c r="Y162" s="1226"/>
      <c r="Z162" s="1226"/>
      <c r="AA162" s="1226"/>
      <c r="AB162" s="1226"/>
      <c r="AC162" s="1226"/>
      <c r="AD162" s="1226"/>
      <c r="AE162" s="1226"/>
      <c r="AF162" s="848" t="s">
        <v>925</v>
      </c>
      <c r="AG162" s="848" t="s">
        <v>604</v>
      </c>
      <c r="AH162" s="848" t="s">
        <v>605</v>
      </c>
    </row>
    <row r="163" spans="1:34">
      <c r="A163" s="847"/>
      <c r="B163" s="857"/>
      <c r="C163" s="1222"/>
      <c r="D163" s="1222"/>
      <c r="E163" s="1222"/>
      <c r="F163" s="1222"/>
      <c r="G163" s="1222"/>
      <c r="H163" s="1222"/>
      <c r="I163" s="1227"/>
      <c r="J163" s="1224"/>
      <c r="K163" s="1224"/>
      <c r="L163" s="849" t="s">
        <v>590</v>
      </c>
      <c r="M163" s="849" t="s">
        <v>591</v>
      </c>
      <c r="N163" s="849" t="s">
        <v>592</v>
      </c>
      <c r="O163" s="849" t="s">
        <v>593</v>
      </c>
      <c r="P163" s="849" t="s">
        <v>594</v>
      </c>
      <c r="Q163" s="849" t="s">
        <v>595</v>
      </c>
      <c r="R163" s="849" t="s">
        <v>596</v>
      </c>
      <c r="S163" s="849" t="s">
        <v>597</v>
      </c>
      <c r="T163" s="849" t="s">
        <v>598</v>
      </c>
      <c r="U163" s="849" t="s">
        <v>599</v>
      </c>
      <c r="V163" s="849" t="s">
        <v>600</v>
      </c>
      <c r="W163" s="849" t="s">
        <v>601</v>
      </c>
      <c r="X163" s="849" t="s">
        <v>602</v>
      </c>
      <c r="Y163" s="849" t="s">
        <v>603</v>
      </c>
      <c r="Z163" s="849" t="s">
        <v>607</v>
      </c>
      <c r="AA163" s="849" t="s">
        <v>608</v>
      </c>
      <c r="AB163" s="849" t="s">
        <v>609</v>
      </c>
      <c r="AC163" s="849" t="s">
        <v>610</v>
      </c>
      <c r="AD163" s="849" t="s">
        <v>611</v>
      </c>
      <c r="AE163" s="849" t="s">
        <v>612</v>
      </c>
      <c r="AF163" s="848"/>
      <c r="AG163" s="848"/>
      <c r="AH163" s="848"/>
    </row>
    <row r="164" spans="1:34" ht="12.75" customHeight="1">
      <c r="A164" s="850" t="s">
        <v>606</v>
      </c>
      <c r="B164" s="851">
        <v>2005</v>
      </c>
      <c r="C164" s="865">
        <f>SUMIF($B$9:$B$159,$B164,C$9:C$159)</f>
        <v>0</v>
      </c>
      <c r="D164" s="865">
        <f>SUMIF($B$9:$B$159,$B164,D$9:D$159)</f>
        <v>0</v>
      </c>
      <c r="E164" s="865">
        <f t="shared" ref="E164:E169" si="166">C164+D164</f>
        <v>0</v>
      </c>
      <c r="F164" s="865">
        <f>SUMIF($B$9:$B$159,$B164,F$9:F$159)</f>
        <v>0</v>
      </c>
      <c r="G164" s="865">
        <f>SUMIF($B$9:$B$159,$B164,G$9:G$159)</f>
        <v>0</v>
      </c>
      <c r="H164" s="865">
        <f>SUMIF($B$9:$B$159,$B164,H$9:H$159)</f>
        <v>0</v>
      </c>
      <c r="I164" s="865">
        <f>SUMIF($B$9:$B$159,$B164,I$9:I$159)</f>
        <v>0</v>
      </c>
      <c r="J164" s="860"/>
      <c r="K164" s="861"/>
      <c r="L164" s="43"/>
      <c r="M164" s="43"/>
      <c r="N164" s="43"/>
      <c r="O164" s="43"/>
      <c r="P164" s="43"/>
      <c r="Q164" s="43"/>
      <c r="R164" s="43"/>
      <c r="S164" s="43"/>
      <c r="T164" s="43"/>
      <c r="U164" s="43"/>
      <c r="V164" s="43"/>
      <c r="W164" s="43"/>
      <c r="X164" s="43"/>
      <c r="Y164" s="43"/>
      <c r="Z164" s="43"/>
      <c r="AA164" s="43"/>
      <c r="AB164" s="43"/>
      <c r="AC164" s="43"/>
      <c r="AD164" s="43"/>
      <c r="AE164" s="43"/>
      <c r="AF164" s="859"/>
      <c r="AG164" s="859"/>
      <c r="AH164" s="859"/>
    </row>
    <row r="165" spans="1:34">
      <c r="A165" s="850" t="s">
        <v>229</v>
      </c>
      <c r="B165" s="851" t="s">
        <v>590</v>
      </c>
      <c r="C165" s="865">
        <f t="shared" ref="C165:I184" si="167">SUMIF($B$9:$B$159,$B165,C$9:C$159)</f>
        <v>0</v>
      </c>
      <c r="D165" s="865">
        <f t="shared" si="167"/>
        <v>0</v>
      </c>
      <c r="E165" s="865">
        <f t="shared" si="166"/>
        <v>0</v>
      </c>
      <c r="F165" s="865">
        <f t="shared" si="167"/>
        <v>0</v>
      </c>
      <c r="G165" s="865">
        <f t="shared" si="167"/>
        <v>0</v>
      </c>
      <c r="H165" s="865">
        <f t="shared" si="167"/>
        <v>0</v>
      </c>
      <c r="I165" s="865">
        <f t="shared" si="167"/>
        <v>0</v>
      </c>
      <c r="J165" s="860"/>
      <c r="K165" s="861"/>
      <c r="L165" s="44"/>
      <c r="M165" s="43"/>
      <c r="N165" s="43"/>
      <c r="O165" s="43"/>
      <c r="P165" s="43"/>
      <c r="Q165" s="43"/>
      <c r="R165" s="43"/>
      <c r="S165" s="43"/>
      <c r="T165" s="43"/>
      <c r="U165" s="43"/>
      <c r="V165" s="43"/>
      <c r="W165" s="43"/>
      <c r="X165" s="43"/>
      <c r="Y165" s="43"/>
      <c r="Z165" s="43"/>
      <c r="AA165" s="43"/>
      <c r="AB165" s="43"/>
      <c r="AC165" s="43"/>
      <c r="AD165" s="43"/>
      <c r="AE165" s="43"/>
      <c r="AF165" s="859"/>
      <c r="AG165" s="859"/>
      <c r="AH165" s="859"/>
    </row>
    <row r="166" spans="1:34">
      <c r="A166" s="850" t="s">
        <v>229</v>
      </c>
      <c r="B166" s="851" t="s">
        <v>591</v>
      </c>
      <c r="C166" s="865">
        <f t="shared" si="167"/>
        <v>0</v>
      </c>
      <c r="D166" s="865">
        <f t="shared" si="167"/>
        <v>0</v>
      </c>
      <c r="E166" s="865">
        <f t="shared" si="166"/>
        <v>0</v>
      </c>
      <c r="F166" s="865">
        <f t="shared" si="167"/>
        <v>0</v>
      </c>
      <c r="G166" s="865">
        <f t="shared" si="167"/>
        <v>0</v>
      </c>
      <c r="H166" s="865">
        <f t="shared" si="167"/>
        <v>0</v>
      </c>
      <c r="I166" s="865">
        <f t="shared" si="167"/>
        <v>0</v>
      </c>
      <c r="J166" s="860"/>
      <c r="K166" s="861"/>
      <c r="L166" s="45"/>
      <c r="M166" s="44"/>
      <c r="N166" s="43"/>
      <c r="O166" s="43"/>
      <c r="P166" s="43"/>
      <c r="Q166" s="43"/>
      <c r="R166" s="43"/>
      <c r="S166" s="43"/>
      <c r="T166" s="43"/>
      <c r="U166" s="43"/>
      <c r="V166" s="43"/>
      <c r="W166" s="43"/>
      <c r="X166" s="43"/>
      <c r="Y166" s="43"/>
      <c r="Z166" s="43"/>
      <c r="AA166" s="43"/>
      <c r="AB166" s="43"/>
      <c r="AC166" s="43"/>
      <c r="AD166" s="43"/>
      <c r="AE166" s="43"/>
      <c r="AF166" s="859"/>
      <c r="AG166" s="859"/>
      <c r="AH166" s="859"/>
    </row>
    <row r="167" spans="1:34">
      <c r="A167" s="850" t="s">
        <v>229</v>
      </c>
      <c r="B167" s="851" t="s">
        <v>592</v>
      </c>
      <c r="C167" s="865">
        <f t="shared" si="167"/>
        <v>0</v>
      </c>
      <c r="D167" s="865">
        <f t="shared" si="167"/>
        <v>0</v>
      </c>
      <c r="E167" s="865">
        <f t="shared" si="166"/>
        <v>0</v>
      </c>
      <c r="F167" s="865">
        <f t="shared" si="167"/>
        <v>0</v>
      </c>
      <c r="G167" s="865">
        <f t="shared" si="167"/>
        <v>0</v>
      </c>
      <c r="H167" s="865">
        <f t="shared" si="167"/>
        <v>0</v>
      </c>
      <c r="I167" s="865">
        <f t="shared" si="167"/>
        <v>0</v>
      </c>
      <c r="J167" s="860"/>
      <c r="K167" s="861"/>
      <c r="L167" s="45"/>
      <c r="M167" s="45"/>
      <c r="N167" s="44"/>
      <c r="O167" s="43"/>
      <c r="P167" s="43"/>
      <c r="Q167" s="43"/>
      <c r="R167" s="43"/>
      <c r="S167" s="43"/>
      <c r="T167" s="43"/>
      <c r="U167" s="43"/>
      <c r="V167" s="43"/>
      <c r="W167" s="43"/>
      <c r="X167" s="43"/>
      <c r="Y167" s="43"/>
      <c r="Z167" s="43"/>
      <c r="AA167" s="43"/>
      <c r="AB167" s="43"/>
      <c r="AC167" s="43"/>
      <c r="AD167" s="43"/>
      <c r="AE167" s="43"/>
      <c r="AF167" s="859"/>
      <c r="AG167" s="859"/>
      <c r="AH167" s="859"/>
    </row>
    <row r="168" spans="1:34">
      <c r="A168" s="850" t="s">
        <v>229</v>
      </c>
      <c r="B168" s="851" t="s">
        <v>593</v>
      </c>
      <c r="C168" s="865">
        <f t="shared" si="167"/>
        <v>0</v>
      </c>
      <c r="D168" s="865">
        <f t="shared" si="167"/>
        <v>0</v>
      </c>
      <c r="E168" s="865">
        <f t="shared" si="166"/>
        <v>0</v>
      </c>
      <c r="F168" s="865">
        <f t="shared" si="167"/>
        <v>0</v>
      </c>
      <c r="G168" s="865">
        <f t="shared" si="167"/>
        <v>0</v>
      </c>
      <c r="H168" s="865">
        <f t="shared" si="167"/>
        <v>0</v>
      </c>
      <c r="I168" s="865">
        <f t="shared" si="167"/>
        <v>0</v>
      </c>
      <c r="J168" s="860"/>
      <c r="K168" s="861"/>
      <c r="L168" s="45"/>
      <c r="M168" s="45"/>
      <c r="N168" s="45"/>
      <c r="O168" s="44"/>
      <c r="P168" s="43"/>
      <c r="Q168" s="43"/>
      <c r="R168" s="43"/>
      <c r="S168" s="43"/>
      <c r="T168" s="43"/>
      <c r="U168" s="43"/>
      <c r="V168" s="43"/>
      <c r="W168" s="43"/>
      <c r="X168" s="43"/>
      <c r="Y168" s="43"/>
      <c r="Z168" s="43"/>
      <c r="AA168" s="43"/>
      <c r="AB168" s="43"/>
      <c r="AC168" s="43"/>
      <c r="AD168" s="43"/>
      <c r="AE168" s="43"/>
      <c r="AF168" s="859"/>
      <c r="AG168" s="859"/>
      <c r="AH168" s="859"/>
    </row>
    <row r="169" spans="1:34">
      <c r="A169" s="850" t="s">
        <v>229</v>
      </c>
      <c r="B169" s="851" t="s">
        <v>594</v>
      </c>
      <c r="C169" s="865">
        <f t="shared" si="167"/>
        <v>0</v>
      </c>
      <c r="D169" s="865">
        <f t="shared" si="167"/>
        <v>0</v>
      </c>
      <c r="E169" s="865">
        <f t="shared" si="166"/>
        <v>0</v>
      </c>
      <c r="F169" s="865">
        <f t="shared" si="167"/>
        <v>0</v>
      </c>
      <c r="G169" s="865">
        <f t="shared" si="167"/>
        <v>0</v>
      </c>
      <c r="H169" s="865">
        <f t="shared" si="167"/>
        <v>0</v>
      </c>
      <c r="I169" s="865">
        <f t="shared" si="167"/>
        <v>0</v>
      </c>
      <c r="J169" s="860"/>
      <c r="K169" s="861"/>
      <c r="L169" s="45"/>
      <c r="M169" s="45"/>
      <c r="N169" s="45"/>
      <c r="O169" s="45"/>
      <c r="P169" s="44"/>
      <c r="Q169" s="43"/>
      <c r="R169" s="43"/>
      <c r="S169" s="43"/>
      <c r="T169" s="43"/>
      <c r="U169" s="43"/>
      <c r="V169" s="43"/>
      <c r="W169" s="43"/>
      <c r="X169" s="43"/>
      <c r="Y169" s="43"/>
      <c r="Z169" s="43"/>
      <c r="AA169" s="43"/>
      <c r="AB169" s="43"/>
      <c r="AC169" s="43"/>
      <c r="AD169" s="43"/>
      <c r="AE169" s="43"/>
      <c r="AF169" s="859"/>
      <c r="AG169" s="859"/>
      <c r="AH169" s="859"/>
    </row>
    <row r="170" spans="1:34">
      <c r="A170" s="850" t="s">
        <v>229</v>
      </c>
      <c r="B170" s="851" t="s">
        <v>595</v>
      </c>
      <c r="C170" s="865">
        <f t="shared" si="167"/>
        <v>179.94579830000001</v>
      </c>
      <c r="D170" s="865">
        <f t="shared" si="167"/>
        <v>0</v>
      </c>
      <c r="E170" s="865">
        <f>C170+D170</f>
        <v>179.94579830000001</v>
      </c>
      <c r="F170" s="865">
        <f t="shared" si="167"/>
        <v>-0.35</v>
      </c>
      <c r="G170" s="865">
        <f t="shared" si="167"/>
        <v>-2.2581393000000003</v>
      </c>
      <c r="H170" s="865">
        <f t="shared" si="167"/>
        <v>177.337659</v>
      </c>
      <c r="I170" s="865">
        <f t="shared" si="167"/>
        <v>177.337659</v>
      </c>
      <c r="J170" s="837"/>
      <c r="K170" s="861"/>
      <c r="L170" s="45"/>
      <c r="M170" s="45"/>
      <c r="N170" s="45"/>
      <c r="O170" s="45"/>
      <c r="P170" s="45"/>
      <c r="Q170" s="867">
        <f t="shared" ref="Q170:AE184" si="168">SUMIF($B$9:$B$159,$B170,Q$9:Q$159)</f>
        <v>6.6537089656799981</v>
      </c>
      <c r="R170" s="865">
        <f t="shared" si="168"/>
        <v>4.5575778363000001</v>
      </c>
      <c r="S170" s="865">
        <f t="shared" si="168"/>
        <v>9.3657762565199985</v>
      </c>
      <c r="T170" s="865">
        <f t="shared" si="168"/>
        <v>9.3697618565199985</v>
      </c>
      <c r="U170" s="865">
        <f t="shared" ca="1" si="168"/>
        <v>9.3635724837727121</v>
      </c>
      <c r="V170" s="865">
        <f t="shared" ca="1" si="168"/>
        <v>9.3635724837727121</v>
      </c>
      <c r="W170" s="865">
        <f t="shared" ca="1" si="168"/>
        <v>9.3281212898727137</v>
      </c>
      <c r="X170" s="865">
        <f t="shared" ca="1" si="168"/>
        <v>9.3635724837727121</v>
      </c>
      <c r="Y170" s="865">
        <f t="shared" ca="1" si="168"/>
        <v>9.3635724837727121</v>
      </c>
      <c r="Z170" s="865">
        <f t="shared" ca="1" si="168"/>
        <v>9.3635724837727121</v>
      </c>
      <c r="AA170" s="865">
        <f t="shared" ca="1" si="168"/>
        <v>9.3635724837727121</v>
      </c>
      <c r="AB170" s="865">
        <f t="shared" ca="1" si="168"/>
        <v>9.3635724837727121</v>
      </c>
      <c r="AC170" s="865">
        <f t="shared" ca="1" si="168"/>
        <v>9.3635724837727121</v>
      </c>
      <c r="AD170" s="865">
        <f t="shared" ca="1" si="168"/>
        <v>9.3638496909687117</v>
      </c>
      <c r="AE170" s="865">
        <f t="shared" ca="1" si="168"/>
        <v>9.3638496909687117</v>
      </c>
      <c r="AF170" s="859"/>
      <c r="AG170" s="842">
        <f ca="1">IFERROR(SUM(Q170:AE170)/I170,0)</f>
        <v>0.74948110968923876</v>
      </c>
      <c r="AH170" s="859">
        <f ca="1">I170-SUM(Q170:AE170)</f>
        <v>44.426433542988178</v>
      </c>
    </row>
    <row r="171" spans="1:34">
      <c r="A171" s="850" t="s">
        <v>229</v>
      </c>
      <c r="B171" s="851" t="s">
        <v>596</v>
      </c>
      <c r="C171" s="865">
        <f t="shared" si="167"/>
        <v>366.18182139999999</v>
      </c>
      <c r="D171" s="865">
        <f t="shared" si="167"/>
        <v>0</v>
      </c>
      <c r="E171" s="865">
        <f t="shared" ref="E171:E184" si="169">C171+D171</f>
        <v>366.18182139999999</v>
      </c>
      <c r="F171" s="865">
        <f t="shared" si="167"/>
        <v>4.4550000000000001</v>
      </c>
      <c r="G171" s="865">
        <f t="shared" si="167"/>
        <v>-2.81</v>
      </c>
      <c r="H171" s="865">
        <f t="shared" si="167"/>
        <v>367.82682139999997</v>
      </c>
      <c r="I171" s="865">
        <f t="shared" si="167"/>
        <v>361.39116739999997</v>
      </c>
      <c r="J171" s="837"/>
      <c r="K171" s="858"/>
      <c r="L171" s="45"/>
      <c r="M171" s="45"/>
      <c r="N171" s="45"/>
      <c r="O171" s="45"/>
      <c r="P171" s="45"/>
      <c r="Q171" s="870"/>
      <c r="R171" s="867">
        <f t="shared" si="168"/>
        <v>3.1337837438563834</v>
      </c>
      <c r="S171" s="865">
        <f t="shared" si="168"/>
        <v>18.790353269920001</v>
      </c>
      <c r="T171" s="865">
        <f t="shared" si="168"/>
        <v>19.081453638719999</v>
      </c>
      <c r="U171" s="865">
        <f t="shared" si="168"/>
        <v>19.081453638719999</v>
      </c>
      <c r="V171" s="865">
        <f t="shared" si="168"/>
        <v>19.081453638719999</v>
      </c>
      <c r="W171" s="865">
        <f t="shared" si="168"/>
        <v>19.009175405240001</v>
      </c>
      <c r="X171" s="865">
        <f t="shared" si="168"/>
        <v>19.081453638719999</v>
      </c>
      <c r="Y171" s="865">
        <f t="shared" si="168"/>
        <v>19.081453638719999</v>
      </c>
      <c r="Z171" s="865">
        <f t="shared" si="168"/>
        <v>19.081453638719999</v>
      </c>
      <c r="AA171" s="865">
        <f t="shared" si="168"/>
        <v>19.081453638719999</v>
      </c>
      <c r="AB171" s="865">
        <f t="shared" si="168"/>
        <v>19.081453638719999</v>
      </c>
      <c r="AC171" s="865">
        <f t="shared" si="168"/>
        <v>19.081453638719999</v>
      </c>
      <c r="AD171" s="865">
        <f t="shared" si="168"/>
        <v>19.081453638719999</v>
      </c>
      <c r="AE171" s="865">
        <f t="shared" si="168"/>
        <v>19.081453638719999</v>
      </c>
      <c r="AF171" s="859"/>
      <c r="AG171" s="842">
        <f t="shared" ref="AG171:AG184" si="170">IFERROR(SUM(Q171:AE171)/I171,0)</f>
        <v>0.69406594590982373</v>
      </c>
      <c r="AH171" s="859">
        <f t="shared" ref="AH171:AH184" si="171">I171-SUM(Q171:AE171)</f>
        <v>110.56186495506356</v>
      </c>
    </row>
    <row r="172" spans="1:34">
      <c r="A172" s="850" t="s">
        <v>229</v>
      </c>
      <c r="B172" s="851" t="s">
        <v>597</v>
      </c>
      <c r="C172" s="865">
        <f t="shared" si="167"/>
        <v>13.005839199999999</v>
      </c>
      <c r="D172" s="865">
        <f t="shared" si="167"/>
        <v>-4.9201030000000001</v>
      </c>
      <c r="E172" s="865">
        <f t="shared" si="169"/>
        <v>8.0857361999999995</v>
      </c>
      <c r="F172" s="865">
        <f t="shared" si="167"/>
        <v>-4.1050000000000004</v>
      </c>
      <c r="G172" s="865">
        <f t="shared" si="167"/>
        <v>0</v>
      </c>
      <c r="H172" s="865">
        <f t="shared" si="167"/>
        <v>3.9807361999999977</v>
      </c>
      <c r="I172" s="865">
        <f t="shared" si="167"/>
        <v>8.9008391999999983</v>
      </c>
      <c r="J172" s="837"/>
      <c r="K172" s="858"/>
      <c r="L172" s="45"/>
      <c r="M172" s="45"/>
      <c r="N172" s="45"/>
      <c r="O172" s="45"/>
      <c r="P172" s="45"/>
      <c r="Q172" s="870"/>
      <c r="R172" s="871"/>
      <c r="S172" s="867">
        <f t="shared" si="168"/>
        <v>0.10513455707999994</v>
      </c>
      <c r="T172" s="865">
        <f t="shared" si="168"/>
        <v>0.47005055255999989</v>
      </c>
      <c r="U172" s="865">
        <f t="shared" si="168"/>
        <v>0.47005055255999989</v>
      </c>
      <c r="V172" s="865">
        <f t="shared" si="168"/>
        <v>0.47005055255999989</v>
      </c>
      <c r="W172" s="865">
        <f t="shared" si="168"/>
        <v>0.4682720274399999</v>
      </c>
      <c r="X172" s="865">
        <f t="shared" si="168"/>
        <v>0.47005055255999989</v>
      </c>
      <c r="Y172" s="865">
        <f t="shared" si="168"/>
        <v>0.47005055255999989</v>
      </c>
      <c r="Z172" s="865">
        <f t="shared" si="168"/>
        <v>0.47005055255999989</v>
      </c>
      <c r="AA172" s="865">
        <f t="shared" si="168"/>
        <v>0.47005055255999989</v>
      </c>
      <c r="AB172" s="865">
        <f t="shared" si="168"/>
        <v>0.47005055255999989</v>
      </c>
      <c r="AC172" s="865">
        <f t="shared" si="168"/>
        <v>0.47005055255999989</v>
      </c>
      <c r="AD172" s="865">
        <f t="shared" si="168"/>
        <v>0.47005055255999989</v>
      </c>
      <c r="AE172" s="865">
        <f t="shared" si="168"/>
        <v>0.4700290581849999</v>
      </c>
      <c r="AF172" s="859"/>
      <c r="AG172" s="842">
        <f t="shared" si="170"/>
        <v>0.64532579897691</v>
      </c>
      <c r="AH172" s="859">
        <f t="shared" si="171"/>
        <v>3.1568980316949986</v>
      </c>
    </row>
    <row r="173" spans="1:34">
      <c r="A173" s="850" t="s">
        <v>229</v>
      </c>
      <c r="B173" s="851" t="s">
        <v>598</v>
      </c>
      <c r="C173" s="865">
        <f t="shared" si="167"/>
        <v>2.9992010000000002</v>
      </c>
      <c r="D173" s="865">
        <f t="shared" si="167"/>
        <v>-1.5155510000000001</v>
      </c>
      <c r="E173" s="865">
        <f t="shared" si="169"/>
        <v>1.4836500000000001</v>
      </c>
      <c r="F173" s="865">
        <f t="shared" si="167"/>
        <v>0</v>
      </c>
      <c r="G173" s="865">
        <f t="shared" si="167"/>
        <v>0</v>
      </c>
      <c r="H173" s="865">
        <f t="shared" si="167"/>
        <v>1.4836499999999999</v>
      </c>
      <c r="I173" s="865">
        <f t="shared" si="167"/>
        <v>2.9992010000000002</v>
      </c>
      <c r="J173" s="837"/>
      <c r="K173" s="858"/>
      <c r="L173" s="45"/>
      <c r="M173" s="45"/>
      <c r="N173" s="45"/>
      <c r="O173" s="45"/>
      <c r="P173" s="45"/>
      <c r="Q173" s="870"/>
      <c r="R173" s="871"/>
      <c r="S173" s="871"/>
      <c r="T173" s="867">
        <f t="shared" si="168"/>
        <v>0.11250532065999998</v>
      </c>
      <c r="U173" s="865">
        <f t="shared" si="168"/>
        <v>0.15929530565999997</v>
      </c>
      <c r="V173" s="865">
        <f t="shared" si="168"/>
        <v>0.15929530565999997</v>
      </c>
      <c r="W173" s="865">
        <f t="shared" si="168"/>
        <v>0.15870073725999997</v>
      </c>
      <c r="X173" s="865">
        <f t="shared" si="168"/>
        <v>0.15929530565999997</v>
      </c>
      <c r="Y173" s="865">
        <f t="shared" si="168"/>
        <v>0.15880632378499998</v>
      </c>
      <c r="Z173" s="865">
        <f t="shared" si="168"/>
        <v>0.15866095975722219</v>
      </c>
      <c r="AA173" s="865">
        <f t="shared" si="168"/>
        <v>0.15866095975722219</v>
      </c>
      <c r="AB173" s="865">
        <f t="shared" si="168"/>
        <v>0.15866095975722219</v>
      </c>
      <c r="AC173" s="865">
        <f t="shared" si="168"/>
        <v>0.15866095975722219</v>
      </c>
      <c r="AD173" s="865">
        <f t="shared" si="168"/>
        <v>0.15866095975722219</v>
      </c>
      <c r="AE173" s="865">
        <f t="shared" si="168"/>
        <v>0.15866095975722219</v>
      </c>
      <c r="AF173" s="859"/>
      <c r="AG173" s="842">
        <f t="shared" si="170"/>
        <v>0.62011984432798362</v>
      </c>
      <c r="AH173" s="859">
        <f t="shared" si="171"/>
        <v>1.1393369427716673</v>
      </c>
    </row>
    <row r="174" spans="1:34">
      <c r="A174" s="850" t="s">
        <v>229</v>
      </c>
      <c r="B174" s="851" t="s">
        <v>599</v>
      </c>
      <c r="C174" s="865">
        <f t="shared" si="167"/>
        <v>7.3826999999999981E-3</v>
      </c>
      <c r="D174" s="865">
        <f t="shared" si="167"/>
        <v>0</v>
      </c>
      <c r="E174" s="865">
        <f t="shared" si="169"/>
        <v>7.3826999999999981E-3</v>
      </c>
      <c r="F174" s="865">
        <f t="shared" si="167"/>
        <v>0</v>
      </c>
      <c r="G174" s="865">
        <f t="shared" si="167"/>
        <v>0</v>
      </c>
      <c r="H174" s="865">
        <f t="shared" si="167"/>
        <v>7.3826999999999981E-3</v>
      </c>
      <c r="I174" s="865">
        <f t="shared" si="167"/>
        <v>7.3826999999999981E-3</v>
      </c>
      <c r="J174" s="837"/>
      <c r="K174" s="858"/>
      <c r="L174" s="45"/>
      <c r="M174" s="45"/>
      <c r="N174" s="45"/>
      <c r="O174" s="45"/>
      <c r="P174" s="45"/>
      <c r="Q174" s="870"/>
      <c r="R174" s="871"/>
      <c r="S174" s="871"/>
      <c r="T174" s="871"/>
      <c r="U174" s="867">
        <f t="shared" ca="1" si="168"/>
        <v>-5.233350907714286E-3</v>
      </c>
      <c r="V174" s="865">
        <f t="shared" si="168"/>
        <v>1.5416676899999999E-3</v>
      </c>
      <c r="W174" s="865">
        <f t="shared" si="168"/>
        <v>1.5416676899999999E-3</v>
      </c>
      <c r="X174" s="865">
        <f t="shared" si="168"/>
        <v>1.5416676899999999E-3</v>
      </c>
      <c r="Y174" s="865">
        <f t="shared" si="168"/>
        <v>1.5416676899999999E-3</v>
      </c>
      <c r="Z174" s="865">
        <f t="shared" ca="1" si="168"/>
        <v>5.1024291527142847E-4</v>
      </c>
      <c r="AA174" s="865">
        <f t="shared" ca="1" si="168"/>
        <v>5.1024291527142847E-4</v>
      </c>
      <c r="AB174" s="865">
        <f t="shared" ca="1" si="168"/>
        <v>5.1024291527142847E-4</v>
      </c>
      <c r="AC174" s="865">
        <f t="shared" ca="1" si="168"/>
        <v>5.1024291527142847E-4</v>
      </c>
      <c r="AD174" s="865">
        <f t="shared" ca="1" si="168"/>
        <v>5.1024291527142847E-4</v>
      </c>
      <c r="AE174" s="865">
        <f t="shared" ca="1" si="168"/>
        <v>5.1024291527142847E-4</v>
      </c>
      <c r="AF174" s="859"/>
      <c r="AG174" s="842">
        <f t="shared" ca="1" si="170"/>
        <v>0.54109977974376378</v>
      </c>
      <c r="AH174" s="859">
        <f t="shared" ca="1" si="171"/>
        <v>3.3879226560857142E-3</v>
      </c>
    </row>
    <row r="175" spans="1:34">
      <c r="A175" s="850" t="s">
        <v>229</v>
      </c>
      <c r="B175" s="851" t="s">
        <v>600</v>
      </c>
      <c r="C175" s="865">
        <f t="shared" si="167"/>
        <v>8.9483199999999999E-2</v>
      </c>
      <c r="D175" s="865">
        <f t="shared" si="167"/>
        <v>-1.8511999999999999E-3</v>
      </c>
      <c r="E175" s="865">
        <f t="shared" si="169"/>
        <v>8.7632000000000002E-2</v>
      </c>
      <c r="F175" s="865">
        <f t="shared" si="167"/>
        <v>0</v>
      </c>
      <c r="G175" s="865">
        <f t="shared" si="167"/>
        <v>0</v>
      </c>
      <c r="H175" s="865">
        <f t="shared" si="167"/>
        <v>8.7632000000000002E-2</v>
      </c>
      <c r="I175" s="865">
        <f t="shared" si="167"/>
        <v>8.7632000000000002E-2</v>
      </c>
      <c r="J175" s="837"/>
      <c r="K175" s="858"/>
      <c r="L175" s="45"/>
      <c r="M175" s="45"/>
      <c r="N175" s="45"/>
      <c r="O175" s="45"/>
      <c r="P175" s="45"/>
      <c r="Q175" s="870"/>
      <c r="R175" s="871"/>
      <c r="S175" s="871"/>
      <c r="T175" s="871"/>
      <c r="U175" s="871"/>
      <c r="V175" s="867">
        <f t="shared" si="168"/>
        <v>5.7105694199999996E-3</v>
      </c>
      <c r="W175" s="865">
        <f t="shared" si="168"/>
        <v>4.9654544199999994E-3</v>
      </c>
      <c r="X175" s="865">
        <f t="shared" si="168"/>
        <v>6.0072544200000001E-3</v>
      </c>
      <c r="Y175" s="865">
        <f t="shared" si="168"/>
        <v>6.0072544200000001E-3</v>
      </c>
      <c r="Z175" s="865">
        <f t="shared" si="168"/>
        <v>6.0072544200000001E-3</v>
      </c>
      <c r="AA175" s="865">
        <f t="shared" ca="1" si="168"/>
        <v>5.4947985109090906E-3</v>
      </c>
      <c r="AB175" s="865">
        <f t="shared" ca="1" si="168"/>
        <v>5.4947985109090906E-3</v>
      </c>
      <c r="AC175" s="865">
        <f t="shared" ca="1" si="168"/>
        <v>5.4947985109090906E-3</v>
      </c>
      <c r="AD175" s="865">
        <f t="shared" ca="1" si="168"/>
        <v>5.4947985109090906E-3</v>
      </c>
      <c r="AE175" s="865">
        <f t="shared" ca="1" si="168"/>
        <v>5.4947985109090906E-3</v>
      </c>
      <c r="AF175" s="859"/>
      <c r="AG175" s="842">
        <f t="shared" ca="1" si="170"/>
        <v>0.64099620748750963</v>
      </c>
      <c r="AH175" s="859">
        <f t="shared" ca="1" si="171"/>
        <v>3.1460220345454558E-2</v>
      </c>
    </row>
    <row r="176" spans="1:34">
      <c r="A176" s="850" t="s">
        <v>229</v>
      </c>
      <c r="B176" s="851" t="s">
        <v>601</v>
      </c>
      <c r="C176" s="865">
        <f t="shared" si="167"/>
        <v>5.8012000000000003E-3</v>
      </c>
      <c r="D176" s="865">
        <f t="shared" si="167"/>
        <v>-5.0681393000000003</v>
      </c>
      <c r="E176" s="865">
        <f t="shared" si="169"/>
        <v>-5.0623381000000007</v>
      </c>
      <c r="F176" s="865">
        <f t="shared" si="167"/>
        <v>0</v>
      </c>
      <c r="G176" s="865">
        <f t="shared" si="167"/>
        <v>5.0681393000000003</v>
      </c>
      <c r="H176" s="865">
        <f t="shared" si="167"/>
        <v>5.8012000000000003E-3</v>
      </c>
      <c r="I176" s="865">
        <f t="shared" si="167"/>
        <v>5.8012000000000003E-3</v>
      </c>
      <c r="J176" s="837"/>
      <c r="K176" s="858"/>
      <c r="L176" s="45"/>
      <c r="M176" s="45"/>
      <c r="N176" s="45"/>
      <c r="O176" s="45"/>
      <c r="P176" s="45"/>
      <c r="Q176" s="870"/>
      <c r="R176" s="871"/>
      <c r="S176" s="871"/>
      <c r="T176" s="871"/>
      <c r="U176" s="871"/>
      <c r="V176" s="871"/>
      <c r="W176" s="867">
        <f t="shared" si="168"/>
        <v>4.3509000000000001E-4</v>
      </c>
      <c r="X176" s="865">
        <f t="shared" si="168"/>
        <v>8.7018000000000002E-4</v>
      </c>
      <c r="Y176" s="865">
        <f t="shared" si="168"/>
        <v>8.7018000000000002E-4</v>
      </c>
      <c r="Z176" s="865">
        <f t="shared" si="168"/>
        <v>8.7018000000000002E-4</v>
      </c>
      <c r="AA176" s="865">
        <f t="shared" si="168"/>
        <v>8.7018000000000002E-4</v>
      </c>
      <c r="AB176" s="865">
        <f t="shared" si="168"/>
        <v>1.3052699999999999E-4</v>
      </c>
      <c r="AC176" s="865">
        <f t="shared" si="168"/>
        <v>1.3052699999999999E-4</v>
      </c>
      <c r="AD176" s="865">
        <f t="shared" si="168"/>
        <v>1.3052699999999999E-4</v>
      </c>
      <c r="AE176" s="865">
        <f t="shared" si="168"/>
        <v>1.3052699999999999E-4</v>
      </c>
      <c r="AF176" s="859"/>
      <c r="AG176" s="842">
        <f t="shared" si="170"/>
        <v>0.76500000000000012</v>
      </c>
      <c r="AH176" s="859">
        <f t="shared" si="171"/>
        <v>1.3632819999999995E-3</v>
      </c>
    </row>
    <row r="177" spans="1:34">
      <c r="A177" s="850" t="s">
        <v>229</v>
      </c>
      <c r="B177" s="851" t="s">
        <v>602</v>
      </c>
      <c r="C177" s="865">
        <f t="shared" si="167"/>
        <v>0.45556739999999996</v>
      </c>
      <c r="D177" s="865">
        <f t="shared" si="167"/>
        <v>0</v>
      </c>
      <c r="E177" s="865">
        <f t="shared" si="169"/>
        <v>0.45556739999999996</v>
      </c>
      <c r="F177" s="865">
        <f t="shared" si="167"/>
        <v>0</v>
      </c>
      <c r="G177" s="865">
        <f t="shared" si="167"/>
        <v>0</v>
      </c>
      <c r="H177" s="865">
        <f t="shared" si="167"/>
        <v>0.45556739999999996</v>
      </c>
      <c r="I177" s="865">
        <f t="shared" si="167"/>
        <v>0.45556739999999996</v>
      </c>
      <c r="J177" s="837"/>
      <c r="K177" s="858"/>
      <c r="L177" s="45"/>
      <c r="M177" s="45"/>
      <c r="N177" s="45"/>
      <c r="O177" s="45"/>
      <c r="P177" s="45"/>
      <c r="Q177" s="870"/>
      <c r="R177" s="871"/>
      <c r="S177" s="871"/>
      <c r="T177" s="871"/>
      <c r="U177" s="871"/>
      <c r="V177" s="871"/>
      <c r="W177" s="871"/>
      <c r="X177" s="867">
        <f t="shared" si="168"/>
        <v>1.2416815499999999E-2</v>
      </c>
      <c r="Y177" s="865">
        <f t="shared" si="168"/>
        <v>2.4833630999999998E-2</v>
      </c>
      <c r="Z177" s="865">
        <f t="shared" si="168"/>
        <v>2.4833630999999998E-2</v>
      </c>
      <c r="AA177" s="865">
        <f t="shared" si="168"/>
        <v>2.4833630999999998E-2</v>
      </c>
      <c r="AB177" s="865">
        <f t="shared" si="168"/>
        <v>2.4833630999999998E-2</v>
      </c>
      <c r="AC177" s="865">
        <f t="shared" si="168"/>
        <v>2.3828371227272726E-2</v>
      </c>
      <c r="AD177" s="865">
        <f t="shared" si="168"/>
        <v>2.3828371227272726E-2</v>
      </c>
      <c r="AE177" s="865">
        <f t="shared" si="168"/>
        <v>2.3828371227272726E-2</v>
      </c>
      <c r="AF177" s="859"/>
      <c r="AG177" s="842">
        <f t="shared" si="170"/>
        <v>0.40221590302953669</v>
      </c>
      <c r="AH177" s="859">
        <f t="shared" si="171"/>
        <v>0.27233094681818182</v>
      </c>
    </row>
    <row r="178" spans="1:34">
      <c r="A178" s="850" t="s">
        <v>229</v>
      </c>
      <c r="B178" s="851" t="s">
        <v>603</v>
      </c>
      <c r="C178" s="865">
        <f t="shared" si="167"/>
        <v>1.189E-3</v>
      </c>
      <c r="D178" s="865">
        <f t="shared" si="167"/>
        <v>-2.61E-4</v>
      </c>
      <c r="E178" s="865">
        <f t="shared" si="169"/>
        <v>9.2800000000000001E-4</v>
      </c>
      <c r="F178" s="865">
        <f t="shared" si="167"/>
        <v>0</v>
      </c>
      <c r="G178" s="865">
        <f t="shared" si="167"/>
        <v>0</v>
      </c>
      <c r="H178" s="865">
        <f t="shared" si="167"/>
        <v>2.117E-3</v>
      </c>
      <c r="I178" s="865">
        <f t="shared" si="167"/>
        <v>2.117E-3</v>
      </c>
      <c r="J178" s="837"/>
      <c r="K178" s="858"/>
      <c r="L178" s="45"/>
      <c r="M178" s="45"/>
      <c r="N178" s="45"/>
      <c r="O178" s="45"/>
      <c r="P178" s="45"/>
      <c r="Q178" s="870"/>
      <c r="R178" s="871"/>
      <c r="S178" s="871"/>
      <c r="T178" s="871"/>
      <c r="U178" s="871"/>
      <c r="V178" s="871"/>
      <c r="W178" s="871"/>
      <c r="X178" s="871"/>
      <c r="Y178" s="867">
        <f t="shared" si="168"/>
        <v>6.0760799999999996E-5</v>
      </c>
      <c r="Z178" s="865">
        <f t="shared" si="168"/>
        <v>1.2152159999999999E-4</v>
      </c>
      <c r="AA178" s="865">
        <f t="shared" si="168"/>
        <v>1.2152159999999999E-4</v>
      </c>
      <c r="AB178" s="865">
        <f t="shared" si="168"/>
        <v>1.2152159999999999E-4</v>
      </c>
      <c r="AC178" s="865">
        <f t="shared" si="168"/>
        <v>1.2152159999999999E-4</v>
      </c>
      <c r="AD178" s="865">
        <f t="shared" si="168"/>
        <v>1.2152159999999999E-4</v>
      </c>
      <c r="AE178" s="865">
        <f t="shared" si="168"/>
        <v>1.2152159999999999E-4</v>
      </c>
      <c r="AF178" s="859"/>
      <c r="AG178" s="842">
        <f t="shared" si="170"/>
        <v>0.373117808219178</v>
      </c>
      <c r="AH178" s="859">
        <f t="shared" si="171"/>
        <v>1.3271096000000001E-3</v>
      </c>
    </row>
    <row r="179" spans="1:34">
      <c r="A179" s="850" t="s">
        <v>229</v>
      </c>
      <c r="B179" s="851" t="s">
        <v>607</v>
      </c>
      <c r="C179" s="865">
        <f t="shared" si="167"/>
        <v>6.0000000000000005E-2</v>
      </c>
      <c r="D179" s="865">
        <f t="shared" si="167"/>
        <v>0</v>
      </c>
      <c r="E179" s="865">
        <f t="shared" si="169"/>
        <v>6.0000000000000005E-2</v>
      </c>
      <c r="F179" s="865">
        <f t="shared" si="167"/>
        <v>0</v>
      </c>
      <c r="G179" s="865">
        <f t="shared" si="167"/>
        <v>0</v>
      </c>
      <c r="H179" s="865">
        <f t="shared" si="167"/>
        <v>6.0000000000000005E-2</v>
      </c>
      <c r="I179" s="865">
        <f t="shared" si="167"/>
        <v>6.0000000000000005E-2</v>
      </c>
      <c r="J179" s="837"/>
      <c r="K179" s="858"/>
      <c r="L179" s="45"/>
      <c r="M179" s="45"/>
      <c r="N179" s="45"/>
      <c r="O179" s="45"/>
      <c r="P179" s="45"/>
      <c r="Q179" s="870"/>
      <c r="R179" s="871"/>
      <c r="S179" s="871"/>
      <c r="T179" s="871"/>
      <c r="U179" s="871"/>
      <c r="V179" s="871"/>
      <c r="W179" s="871"/>
      <c r="X179" s="871"/>
      <c r="Y179" s="871"/>
      <c r="Z179" s="867">
        <f t="shared" si="168"/>
        <v>2.3324999999999999E-3</v>
      </c>
      <c r="AA179" s="865">
        <f t="shared" si="168"/>
        <v>4.6649999999999999E-3</v>
      </c>
      <c r="AB179" s="865">
        <f t="shared" si="168"/>
        <v>4.6649999999999999E-3</v>
      </c>
      <c r="AC179" s="865">
        <f t="shared" si="168"/>
        <v>4.6649999999999999E-3</v>
      </c>
      <c r="AD179" s="865">
        <f t="shared" si="168"/>
        <v>4.6649999999999999E-3</v>
      </c>
      <c r="AE179" s="865">
        <f t="shared" si="168"/>
        <v>3.6422727272727271E-3</v>
      </c>
      <c r="AF179" s="859"/>
      <c r="AG179" s="842">
        <f t="shared" si="170"/>
        <v>0.41057954545454539</v>
      </c>
      <c r="AH179" s="859">
        <f t="shared" si="171"/>
        <v>3.5365227272727284E-2</v>
      </c>
    </row>
    <row r="180" spans="1:34">
      <c r="A180" s="850" t="s">
        <v>229</v>
      </c>
      <c r="B180" s="851" t="s">
        <v>608</v>
      </c>
      <c r="C180" s="865">
        <f t="shared" si="167"/>
        <v>2.77</v>
      </c>
      <c r="D180" s="865">
        <f t="shared" si="167"/>
        <v>0</v>
      </c>
      <c r="E180" s="865">
        <f t="shared" si="169"/>
        <v>2.77</v>
      </c>
      <c r="F180" s="865">
        <f t="shared" si="167"/>
        <v>0</v>
      </c>
      <c r="G180" s="865">
        <f t="shared" si="167"/>
        <v>0</v>
      </c>
      <c r="H180" s="865">
        <f t="shared" si="167"/>
        <v>2.77</v>
      </c>
      <c r="I180" s="865">
        <f t="shared" si="167"/>
        <v>2.77</v>
      </c>
      <c r="J180" s="837"/>
      <c r="K180" s="858"/>
      <c r="L180" s="45"/>
      <c r="M180" s="45"/>
      <c r="N180" s="45"/>
      <c r="O180" s="45"/>
      <c r="P180" s="45"/>
      <c r="Q180" s="870"/>
      <c r="R180" s="871"/>
      <c r="S180" s="871"/>
      <c r="T180" s="871"/>
      <c r="U180" s="871"/>
      <c r="V180" s="871"/>
      <c r="W180" s="871"/>
      <c r="X180" s="871"/>
      <c r="Y180" s="871"/>
      <c r="Z180" s="871"/>
      <c r="AA180" s="867">
        <f t="shared" si="168"/>
        <v>4.75895E-2</v>
      </c>
      <c r="AB180" s="865">
        <f t="shared" si="168"/>
        <v>9.5179E-2</v>
      </c>
      <c r="AC180" s="865">
        <f t="shared" si="168"/>
        <v>9.5179E-2</v>
      </c>
      <c r="AD180" s="865">
        <f t="shared" si="168"/>
        <v>9.5179E-2</v>
      </c>
      <c r="AE180" s="865">
        <f t="shared" si="168"/>
        <v>9.5179E-2</v>
      </c>
      <c r="AF180" s="859"/>
      <c r="AG180" s="842">
        <f t="shared" si="170"/>
        <v>0.15462292418772564</v>
      </c>
      <c r="AH180" s="859">
        <f t="shared" si="171"/>
        <v>2.3416945</v>
      </c>
    </row>
    <row r="181" spans="1:34">
      <c r="A181" s="850" t="s">
        <v>229</v>
      </c>
      <c r="B181" s="851" t="s">
        <v>609</v>
      </c>
      <c r="C181" s="865">
        <f t="shared" si="167"/>
        <v>0.02</v>
      </c>
      <c r="D181" s="865">
        <f t="shared" si="167"/>
        <v>0</v>
      </c>
      <c r="E181" s="865">
        <f t="shared" si="169"/>
        <v>0.02</v>
      </c>
      <c r="F181" s="865">
        <f t="shared" si="167"/>
        <v>0</v>
      </c>
      <c r="G181" s="865">
        <f t="shared" si="167"/>
        <v>0</v>
      </c>
      <c r="H181" s="865">
        <f t="shared" si="167"/>
        <v>0.02</v>
      </c>
      <c r="I181" s="865">
        <f t="shared" si="167"/>
        <v>0.02</v>
      </c>
      <c r="J181" s="837"/>
      <c r="K181" s="858"/>
      <c r="L181" s="45"/>
      <c r="M181" s="45"/>
      <c r="N181" s="45"/>
      <c r="O181" s="45"/>
      <c r="P181" s="45"/>
      <c r="Q181" s="870"/>
      <c r="R181" s="871"/>
      <c r="S181" s="871"/>
      <c r="T181" s="871"/>
      <c r="U181" s="871"/>
      <c r="V181" s="871"/>
      <c r="W181" s="871"/>
      <c r="X181" s="871"/>
      <c r="Y181" s="871"/>
      <c r="Z181" s="871"/>
      <c r="AA181" s="871"/>
      <c r="AB181" s="867">
        <f t="shared" si="168"/>
        <v>1.0665E-3</v>
      </c>
      <c r="AC181" s="865">
        <f t="shared" si="168"/>
        <v>2.1329999999999999E-3</v>
      </c>
      <c r="AD181" s="865">
        <f t="shared" si="168"/>
        <v>2.1329999999999999E-3</v>
      </c>
      <c r="AE181" s="865">
        <f t="shared" si="168"/>
        <v>2.1329999999999999E-3</v>
      </c>
      <c r="AF181" s="859"/>
      <c r="AG181" s="842">
        <f t="shared" si="170"/>
        <v>0.37327499999999997</v>
      </c>
      <c r="AH181" s="859">
        <f t="shared" si="171"/>
        <v>1.2534500000000001E-2</v>
      </c>
    </row>
    <row r="182" spans="1:34">
      <c r="A182" s="850" t="s">
        <v>229</v>
      </c>
      <c r="B182" s="851" t="s">
        <v>610</v>
      </c>
      <c r="C182" s="865">
        <f t="shared" si="167"/>
        <v>0.02</v>
      </c>
      <c r="D182" s="865">
        <f t="shared" si="167"/>
        <v>0</v>
      </c>
      <c r="E182" s="865">
        <f t="shared" si="169"/>
        <v>0.02</v>
      </c>
      <c r="F182" s="865">
        <f t="shared" si="167"/>
        <v>0</v>
      </c>
      <c r="G182" s="865">
        <f t="shared" si="167"/>
        <v>0</v>
      </c>
      <c r="H182" s="865">
        <f t="shared" si="167"/>
        <v>0.02</v>
      </c>
      <c r="I182" s="865">
        <f t="shared" si="167"/>
        <v>0.02</v>
      </c>
      <c r="J182" s="837"/>
      <c r="K182" s="858"/>
      <c r="L182" s="45"/>
      <c r="M182" s="45"/>
      <c r="N182" s="45"/>
      <c r="O182" s="45"/>
      <c r="P182" s="45"/>
      <c r="Q182" s="870"/>
      <c r="R182" s="871"/>
      <c r="S182" s="871"/>
      <c r="T182" s="871"/>
      <c r="U182" s="871"/>
      <c r="V182" s="871"/>
      <c r="W182" s="871"/>
      <c r="X182" s="871"/>
      <c r="Y182" s="871"/>
      <c r="Z182" s="871"/>
      <c r="AA182" s="871"/>
      <c r="AB182" s="871"/>
      <c r="AC182" s="867">
        <f t="shared" si="168"/>
        <v>1.0665E-3</v>
      </c>
      <c r="AD182" s="865">
        <f t="shared" si="168"/>
        <v>2.1329999999999999E-3</v>
      </c>
      <c r="AE182" s="865">
        <f t="shared" si="168"/>
        <v>2.1329999999999999E-3</v>
      </c>
      <c r="AF182" s="859"/>
      <c r="AG182" s="842">
        <f t="shared" si="170"/>
        <v>0.266625</v>
      </c>
      <c r="AH182" s="859">
        <f t="shared" si="171"/>
        <v>1.46675E-2</v>
      </c>
    </row>
    <row r="183" spans="1:34">
      <c r="A183" s="850" t="s">
        <v>229</v>
      </c>
      <c r="B183" s="851" t="s">
        <v>611</v>
      </c>
      <c r="C183" s="865">
        <f t="shared" si="167"/>
        <v>0.02</v>
      </c>
      <c r="D183" s="865">
        <f t="shared" si="167"/>
        <v>0</v>
      </c>
      <c r="E183" s="865">
        <f t="shared" si="169"/>
        <v>0.02</v>
      </c>
      <c r="F183" s="865">
        <f t="shared" si="167"/>
        <v>0</v>
      </c>
      <c r="G183" s="865">
        <f t="shared" si="167"/>
        <v>0</v>
      </c>
      <c r="H183" s="865">
        <f t="shared" si="167"/>
        <v>0.02</v>
      </c>
      <c r="I183" s="865">
        <f t="shared" si="167"/>
        <v>0.02</v>
      </c>
      <c r="J183" s="837"/>
      <c r="K183" s="858"/>
      <c r="L183" s="45"/>
      <c r="M183" s="45"/>
      <c r="N183" s="45"/>
      <c r="O183" s="45"/>
      <c r="P183" s="45"/>
      <c r="Q183" s="870"/>
      <c r="R183" s="871"/>
      <c r="S183" s="871"/>
      <c r="T183" s="871"/>
      <c r="U183" s="871"/>
      <c r="V183" s="871"/>
      <c r="W183" s="871"/>
      <c r="X183" s="871"/>
      <c r="Y183" s="871"/>
      <c r="Z183" s="871"/>
      <c r="AA183" s="871"/>
      <c r="AB183" s="871"/>
      <c r="AC183" s="871"/>
      <c r="AD183" s="867">
        <f t="shared" si="168"/>
        <v>1.0665E-3</v>
      </c>
      <c r="AE183" s="865">
        <f t="shared" si="168"/>
        <v>2.1329999999999999E-3</v>
      </c>
      <c r="AF183" s="859"/>
      <c r="AG183" s="842">
        <f t="shared" si="170"/>
        <v>0.15997500000000001</v>
      </c>
      <c r="AH183" s="859">
        <f t="shared" si="171"/>
        <v>1.6800499999999999E-2</v>
      </c>
    </row>
    <row r="184" spans="1:34">
      <c r="A184" s="850" t="s">
        <v>229</v>
      </c>
      <c r="B184" s="851" t="s">
        <v>612</v>
      </c>
      <c r="C184" s="865">
        <f t="shared" si="167"/>
        <v>0.02</v>
      </c>
      <c r="D184" s="865">
        <f t="shared" si="167"/>
        <v>0</v>
      </c>
      <c r="E184" s="865">
        <f t="shared" si="169"/>
        <v>0.02</v>
      </c>
      <c r="F184" s="865">
        <f t="shared" si="167"/>
        <v>0</v>
      </c>
      <c r="G184" s="865">
        <f t="shared" si="167"/>
        <v>0</v>
      </c>
      <c r="H184" s="865">
        <f t="shared" si="167"/>
        <v>0.02</v>
      </c>
      <c r="I184" s="865">
        <f t="shared" si="167"/>
        <v>0.02</v>
      </c>
      <c r="J184" s="837"/>
      <c r="K184" s="858"/>
      <c r="L184" s="45"/>
      <c r="M184" s="45"/>
      <c r="N184" s="45"/>
      <c r="O184" s="45"/>
      <c r="P184" s="45"/>
      <c r="Q184" s="870"/>
      <c r="R184" s="871"/>
      <c r="S184" s="871"/>
      <c r="T184" s="871"/>
      <c r="U184" s="871"/>
      <c r="V184" s="871"/>
      <c r="W184" s="871"/>
      <c r="X184" s="871"/>
      <c r="Y184" s="871"/>
      <c r="Z184" s="871"/>
      <c r="AA184" s="871"/>
      <c r="AB184" s="871"/>
      <c r="AC184" s="871"/>
      <c r="AD184" s="871"/>
      <c r="AE184" s="867">
        <f t="shared" si="168"/>
        <v>1.0665E-3</v>
      </c>
      <c r="AF184" s="859"/>
      <c r="AG184" s="842">
        <f t="shared" si="170"/>
        <v>5.3324999999999997E-2</v>
      </c>
      <c r="AH184" s="859">
        <f t="shared" si="171"/>
        <v>1.8933499999999999E-2</v>
      </c>
    </row>
    <row r="185" spans="1:34">
      <c r="A185" s="853" t="s">
        <v>613</v>
      </c>
      <c r="B185" s="854" t="s">
        <v>23</v>
      </c>
      <c r="C185" s="866">
        <f>SUM(C170:C184)</f>
        <v>565.60208339999963</v>
      </c>
      <c r="D185" s="866">
        <f>SUM(D170:D184)</f>
        <v>-11.505905500000001</v>
      </c>
      <c r="E185" s="866">
        <f>SUM(E170:E184)</f>
        <v>554.09617789999982</v>
      </c>
      <c r="F185" s="866">
        <f t="shared" ref="F185:J185" si="172">SUM(F170:F184)</f>
        <v>0</v>
      </c>
      <c r="G185" s="866">
        <f t="shared" si="172"/>
        <v>0</v>
      </c>
      <c r="H185" s="866">
        <f t="shared" si="172"/>
        <v>554.09736689999977</v>
      </c>
      <c r="I185" s="866">
        <f t="shared" si="172"/>
        <v>554.09736689999966</v>
      </c>
      <c r="J185" s="855">
        <f t="shared" si="172"/>
        <v>0</v>
      </c>
      <c r="K185" s="855"/>
      <c r="L185" s="855">
        <f t="shared" ref="L185:P185" si="173">SUM(L170:L184)</f>
        <v>0</v>
      </c>
      <c r="M185" s="855">
        <f t="shared" si="173"/>
        <v>0</v>
      </c>
      <c r="N185" s="855">
        <f t="shared" si="173"/>
        <v>0</v>
      </c>
      <c r="O185" s="855">
        <f t="shared" si="173"/>
        <v>0</v>
      </c>
      <c r="P185" s="855">
        <f t="shared" si="173"/>
        <v>0</v>
      </c>
      <c r="Q185" s="872">
        <f>SUM(Q164:Q184)</f>
        <v>6.6537089656799981</v>
      </c>
      <c r="R185" s="872">
        <f t="shared" ref="R185" si="174">SUM(R164:R184)</f>
        <v>7.6913615801563839</v>
      </c>
      <c r="S185" s="872">
        <f t="shared" ref="S185" si="175">SUM(S164:S184)</f>
        <v>28.261264083519997</v>
      </c>
      <c r="T185" s="872">
        <f t="shared" ref="T185" si="176">SUM(T164:T184)</f>
        <v>29.033771368459998</v>
      </c>
      <c r="U185" s="872">
        <f t="shared" ref="U185" ca="1" si="177">SUM(U164:U184)</f>
        <v>29.069138629804996</v>
      </c>
      <c r="V185" s="872">
        <f t="shared" ref="V185" ca="1" si="178">SUM(V164:V184)</f>
        <v>29.081624217822711</v>
      </c>
      <c r="W185" s="872">
        <f t="shared" ref="W185" ca="1" si="179">SUM(W164:W184)</f>
        <v>28.97121167192271</v>
      </c>
      <c r="X185" s="872">
        <f t="shared" ref="X185" ca="1" si="180">SUM(X164:X184)</f>
        <v>29.095207898322709</v>
      </c>
      <c r="Y185" s="872">
        <f t="shared" ref="Y185" ca="1" si="181">SUM(Y164:Y184)</f>
        <v>29.107196492747711</v>
      </c>
      <c r="Z185" s="872">
        <f t="shared" ref="Z185" ca="1" si="182">SUM(Z164:Z184)</f>
        <v>29.108412964745206</v>
      </c>
      <c r="AA185" s="872">
        <f t="shared" ref="AA185" ca="1" si="183">SUM(AA164:AA184)</f>
        <v>29.157822508836116</v>
      </c>
      <c r="AB185" s="872">
        <f t="shared" ref="AB185" ca="1" si="184">SUM(AB164:AB184)</f>
        <v>29.205738855836117</v>
      </c>
      <c r="AC185" s="872">
        <f t="shared" ref="AC185" ca="1" si="185">SUM(AC164:AC184)</f>
        <v>29.206866596063389</v>
      </c>
      <c r="AD185" s="872">
        <f t="shared" ref="AD185" ca="1" si="186">SUM(AD164:AD184)</f>
        <v>29.209276803259389</v>
      </c>
      <c r="AE185" s="872">
        <f t="shared" ref="AE185" ca="1" si="187">SUM(AE164:AE184)</f>
        <v>29.210365581611661</v>
      </c>
      <c r="AF185" s="839">
        <f t="shared" ref="AF185" si="188">SUM(AF170:AF184)</f>
        <v>0</v>
      </c>
      <c r="AG185" s="839"/>
      <c r="AH185" s="839">
        <f t="shared" ref="AH185" ca="1" si="189">SUM(AH170:AH184)</f>
        <v>162.03439868121083</v>
      </c>
    </row>
    <row r="186" spans="1:34">
      <c r="C186" s="845">
        <f>SUM(C12,C38,C64,C90,C116,C142)</f>
        <v>0</v>
      </c>
    </row>
    <row r="187" spans="1:34">
      <c r="C187" s="845">
        <f>SUM(C13,C39,C65,C91,C117,C143)</f>
        <v>0</v>
      </c>
    </row>
    <row r="191" spans="1:34">
      <c r="C191" s="873"/>
      <c r="D191" s="873"/>
      <c r="E191" s="873"/>
      <c r="F191" s="873"/>
      <c r="G191" s="873"/>
      <c r="H191" s="873"/>
      <c r="I191" s="873"/>
      <c r="J191" s="873"/>
      <c r="K191" s="873"/>
      <c r="L191" s="873"/>
      <c r="M191" s="873"/>
      <c r="N191" s="873"/>
      <c r="O191" s="873"/>
      <c r="P191" s="873"/>
      <c r="Q191" s="873"/>
      <c r="R191" s="873"/>
      <c r="S191" s="873"/>
      <c r="T191" s="873"/>
      <c r="U191" s="873"/>
      <c r="V191" s="873"/>
      <c r="W191" s="873"/>
      <c r="X191" s="873"/>
      <c r="Y191" s="873"/>
      <c r="Z191" s="873"/>
      <c r="AA191" s="873"/>
      <c r="AB191" s="873"/>
      <c r="AC191" s="873"/>
      <c r="AD191" s="873"/>
      <c r="AE191" s="873"/>
      <c r="AF191" s="873"/>
      <c r="AG191" s="873"/>
      <c r="AH191" s="873"/>
    </row>
  </sheetData>
  <mergeCells count="74">
    <mergeCell ref="I162:I163"/>
    <mergeCell ref="J162:J163"/>
    <mergeCell ref="K162:K163"/>
    <mergeCell ref="L162:AE162"/>
    <mergeCell ref="D6:D7"/>
    <mergeCell ref="E6:E7"/>
    <mergeCell ref="F6:F7"/>
    <mergeCell ref="G6:G7"/>
    <mergeCell ref="H6:H7"/>
    <mergeCell ref="I6:I7"/>
    <mergeCell ref="I136:I137"/>
    <mergeCell ref="J136:J137"/>
    <mergeCell ref="K136:K137"/>
    <mergeCell ref="L136:AE136"/>
    <mergeCell ref="H162:H163"/>
    <mergeCell ref="I110:I111"/>
    <mergeCell ref="C162:C163"/>
    <mergeCell ref="D162:D163"/>
    <mergeCell ref="E162:E163"/>
    <mergeCell ref="F162:F163"/>
    <mergeCell ref="G162:G163"/>
    <mergeCell ref="J110:J111"/>
    <mergeCell ref="K110:K111"/>
    <mergeCell ref="L110:AE110"/>
    <mergeCell ref="C136:C137"/>
    <mergeCell ref="D136:D137"/>
    <mergeCell ref="E136:E137"/>
    <mergeCell ref="F136:F137"/>
    <mergeCell ref="G136:G137"/>
    <mergeCell ref="H136:H137"/>
    <mergeCell ref="C110:C111"/>
    <mergeCell ref="D110:D111"/>
    <mergeCell ref="E110:E111"/>
    <mergeCell ref="F110:F111"/>
    <mergeCell ref="G110:G111"/>
    <mergeCell ref="H110:H111"/>
    <mergeCell ref="C84:C85"/>
    <mergeCell ref="D84:D85"/>
    <mergeCell ref="E84:E85"/>
    <mergeCell ref="F84:F85"/>
    <mergeCell ref="G84:G85"/>
    <mergeCell ref="H84:H85"/>
    <mergeCell ref="I32:I33"/>
    <mergeCell ref="I58:I59"/>
    <mergeCell ref="I84:I85"/>
    <mergeCell ref="J84:J85"/>
    <mergeCell ref="J32:J33"/>
    <mergeCell ref="K84:K85"/>
    <mergeCell ref="L84:AE84"/>
    <mergeCell ref="J58:J59"/>
    <mergeCell ref="K58:K59"/>
    <mergeCell ref="L58:AE58"/>
    <mergeCell ref="K32:K33"/>
    <mergeCell ref="L32:AE32"/>
    <mergeCell ref="C58:C59"/>
    <mergeCell ref="D58:D59"/>
    <mergeCell ref="E58:E59"/>
    <mergeCell ref="F58:F59"/>
    <mergeCell ref="G58:G59"/>
    <mergeCell ref="H58:H59"/>
    <mergeCell ref="C32:C33"/>
    <mergeCell ref="D32:D33"/>
    <mergeCell ref="E32:E33"/>
    <mergeCell ref="F32:F33"/>
    <mergeCell ref="G32:G33"/>
    <mergeCell ref="H32:H33"/>
    <mergeCell ref="A2:Z2"/>
    <mergeCell ref="A3:Z3"/>
    <mergeCell ref="A4:Z4"/>
    <mergeCell ref="B6:B7"/>
    <mergeCell ref="C6:C7"/>
    <mergeCell ref="J6:J7"/>
    <mergeCell ref="K6:K7"/>
    <mergeCell ref="L6:AE6"/>
  </mergeCells>
  <pageMargins left="0.43307086614173229" right="0.43307086614173229" top="0.43307086614173229" bottom="0.43307086614173229" header="0.31496062992125984" footer="0.31496062992125984"/>
  <pageSetup paperSize="9" scale="65" fitToWidth="6" fitToHeight="6" orientation="landscape" r:id="rId1"/>
  <headerFooter>
    <oddFooter>&amp;CPage. &amp;P</oddFooter>
  </headerFooter>
  <colBreaks count="8" manualBreakCount="8">
    <brk id="14" min="160" max="184" man="1"/>
    <brk id="14" min="108" max="158" man="1"/>
    <brk id="14" min="56" max="106" man="1"/>
    <brk id="14" min="1" max="54" man="1"/>
    <brk id="27" min="1" max="54" man="1"/>
    <brk id="27" min="56" max="106" man="1"/>
    <brk id="27" min="108" max="158" man="1"/>
    <brk id="27" min="160" max="184"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3:E7"/>
  <sheetViews>
    <sheetView showGridLines="0" workbookViewId="0">
      <selection activeCell="E71" sqref="E71"/>
    </sheetView>
  </sheetViews>
  <sheetFormatPr baseColWidth="10" defaultColWidth="9.1640625" defaultRowHeight="15"/>
  <cols>
    <col min="1" max="2" width="9.1640625" style="25"/>
    <col min="3" max="3" width="32.6640625" style="25" customWidth="1"/>
    <col min="4" max="5" width="10.33203125" style="25" bestFit="1" customWidth="1"/>
    <col min="6" max="7" width="9.1640625" style="25"/>
    <col min="8" max="8" width="8.6640625" style="25" customWidth="1"/>
    <col min="9" max="9" width="9" style="25" bestFit="1" customWidth="1"/>
    <col min="10" max="16384" width="9.1640625" style="25"/>
  </cols>
  <sheetData>
    <row r="3" spans="3:5">
      <c r="C3" s="834" t="s">
        <v>860</v>
      </c>
      <c r="D3" s="834" t="s">
        <v>213</v>
      </c>
      <c r="E3" s="834" t="s">
        <v>214</v>
      </c>
    </row>
    <row r="4" spans="3:5" ht="32">
      <c r="C4" s="658" t="s">
        <v>861</v>
      </c>
      <c r="D4" s="448">
        <v>89.88</v>
      </c>
      <c r="E4" s="448">
        <v>86.93</v>
      </c>
    </row>
    <row r="5" spans="3:5" ht="32">
      <c r="C5" s="658" t="s">
        <v>862</v>
      </c>
      <c r="D5" s="448"/>
      <c r="E5" s="448">
        <v>68.42</v>
      </c>
    </row>
    <row r="6" spans="3:5">
      <c r="C6" s="448" t="s">
        <v>910</v>
      </c>
      <c r="D6" s="813">
        <v>-0.46</v>
      </c>
      <c r="E6" s="813">
        <v>-7.4804300000000004E-2</v>
      </c>
    </row>
    <row r="7" spans="3:5">
      <c r="C7" s="448" t="s">
        <v>863</v>
      </c>
      <c r="D7" s="629">
        <f>D4+D6</f>
        <v>89.42</v>
      </c>
      <c r="E7" s="603">
        <f>E4*5/12+E5*7/12+E6</f>
        <v>76.057695700000011</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1:S38"/>
  <sheetViews>
    <sheetView showGridLines="0" topLeftCell="A27" workbookViewId="0">
      <selection activeCell="E71" sqref="E71"/>
    </sheetView>
  </sheetViews>
  <sheetFormatPr baseColWidth="10" defaultColWidth="9.1640625" defaultRowHeight="14"/>
  <cols>
    <col min="1" max="2" width="9.1640625" style="695"/>
    <col min="3" max="3" width="28" style="695" bestFit="1" customWidth="1"/>
    <col min="4" max="10" width="11" style="695" customWidth="1"/>
    <col min="11" max="11" width="9.1640625" style="695"/>
    <col min="12" max="12" width="28.5" style="695" bestFit="1" customWidth="1"/>
    <col min="13" max="19" width="10.5" style="695" customWidth="1"/>
    <col min="20" max="16384" width="9.1640625" style="695"/>
  </cols>
  <sheetData>
    <row r="1" spans="3:19">
      <c r="C1" s="1228" t="s">
        <v>913</v>
      </c>
      <c r="D1" s="1228"/>
      <c r="E1" s="1228"/>
      <c r="F1" s="1228"/>
      <c r="G1" s="1228"/>
      <c r="H1" s="1228"/>
      <c r="I1" s="1228"/>
      <c r="J1" s="1228"/>
      <c r="L1" s="1228" t="s">
        <v>914</v>
      </c>
      <c r="M1" s="1228"/>
      <c r="N1" s="1228"/>
      <c r="O1" s="1228"/>
      <c r="P1" s="1228"/>
      <c r="Q1" s="1228"/>
      <c r="R1" s="1228"/>
      <c r="S1" s="1228"/>
    </row>
    <row r="2" spans="3:19">
      <c r="C2" s="1229" t="s">
        <v>915</v>
      </c>
      <c r="D2" s="1229"/>
      <c r="E2" s="1229"/>
      <c r="F2" s="1229"/>
      <c r="G2" s="1229"/>
      <c r="H2" s="1229"/>
      <c r="I2" s="1229"/>
      <c r="J2" s="1229"/>
      <c r="L2" s="1229" t="s">
        <v>894</v>
      </c>
      <c r="M2" s="1229"/>
      <c r="N2" s="1229"/>
      <c r="O2" s="1229"/>
      <c r="P2" s="1229"/>
      <c r="Q2" s="1229"/>
      <c r="R2" s="1229"/>
      <c r="S2" s="1229"/>
    </row>
    <row r="3" spans="3:19" ht="16">
      <c r="C3" s="802" t="s">
        <v>893</v>
      </c>
      <c r="D3" s="795" t="s">
        <v>746</v>
      </c>
      <c r="E3" s="795" t="s">
        <v>747</v>
      </c>
      <c r="F3" s="795" t="s">
        <v>748</v>
      </c>
      <c r="G3" s="795" t="s">
        <v>749</v>
      </c>
      <c r="H3" s="795" t="s">
        <v>750</v>
      </c>
      <c r="I3" s="795" t="s">
        <v>751</v>
      </c>
      <c r="J3" s="795" t="s">
        <v>753</v>
      </c>
      <c r="L3" s="802" t="s">
        <v>893</v>
      </c>
      <c r="M3" s="795" t="s">
        <v>746</v>
      </c>
      <c r="N3" s="795" t="s">
        <v>747</v>
      </c>
      <c r="O3" s="795" t="s">
        <v>748</v>
      </c>
      <c r="P3" s="795" t="s">
        <v>749</v>
      </c>
      <c r="Q3" s="795" t="s">
        <v>750</v>
      </c>
      <c r="R3" s="795" t="s">
        <v>751</v>
      </c>
      <c r="S3" s="795" t="s">
        <v>753</v>
      </c>
    </row>
    <row r="4" spans="3:19" ht="15">
      <c r="C4" s="2" t="s">
        <v>588</v>
      </c>
      <c r="D4" s="699"/>
      <c r="E4" s="699"/>
      <c r="F4" s="699"/>
      <c r="G4" s="699"/>
      <c r="H4" s="767"/>
      <c r="I4" s="699"/>
      <c r="J4" s="699"/>
      <c r="L4" s="2" t="s">
        <v>588</v>
      </c>
      <c r="M4" s="699"/>
      <c r="N4" s="699"/>
      <c r="O4" s="699"/>
      <c r="P4" s="699"/>
      <c r="Q4" s="699"/>
      <c r="R4" s="699"/>
      <c r="S4" s="699"/>
    </row>
    <row r="5" spans="3:19" ht="15">
      <c r="C5" s="4" t="s">
        <v>149</v>
      </c>
      <c r="D5" s="699"/>
      <c r="E5" s="699"/>
      <c r="F5" s="699"/>
      <c r="G5" s="767"/>
      <c r="H5" s="767">
        <v>0</v>
      </c>
      <c r="I5" s="767">
        <v>0</v>
      </c>
      <c r="J5" s="767">
        <v>-5.0681393000000003</v>
      </c>
      <c r="L5" s="4" t="s">
        <v>149</v>
      </c>
      <c r="M5" s="699"/>
      <c r="N5" s="699"/>
      <c r="O5" s="699"/>
      <c r="P5" s="699"/>
      <c r="Q5" s="699"/>
      <c r="R5" s="699"/>
      <c r="S5" s="699"/>
    </row>
    <row r="6" spans="3:19" ht="15">
      <c r="C6" s="4" t="s">
        <v>156</v>
      </c>
      <c r="D6" s="699"/>
      <c r="E6" s="699"/>
      <c r="F6" s="699"/>
      <c r="G6" s="767"/>
      <c r="H6" s="767">
        <v>1.0349999999999999E-3</v>
      </c>
      <c r="I6" s="767">
        <v>0</v>
      </c>
      <c r="J6" s="767">
        <v>-1.8684999999999999E-3</v>
      </c>
      <c r="L6" s="4" t="s">
        <v>156</v>
      </c>
      <c r="M6" s="699"/>
      <c r="N6" s="699"/>
      <c r="O6" s="699"/>
      <c r="P6" s="699"/>
      <c r="Q6" s="699"/>
      <c r="R6" s="699"/>
      <c r="S6" s="699"/>
    </row>
    <row r="7" spans="3:19" ht="15">
      <c r="C7" s="4" t="s">
        <v>710</v>
      </c>
      <c r="D7" s="699"/>
      <c r="E7" s="699"/>
      <c r="F7" s="699"/>
      <c r="G7" s="767"/>
      <c r="H7" s="767">
        <v>6.9062999999999998E-3</v>
      </c>
      <c r="I7" s="767">
        <v>3.9557999999999998E-3</v>
      </c>
      <c r="J7" s="767">
        <v>5.8449999999999995E-3</v>
      </c>
      <c r="L7" s="4" t="s">
        <v>710</v>
      </c>
      <c r="M7" s="699"/>
      <c r="N7" s="699"/>
      <c r="O7" s="699"/>
      <c r="P7" s="699"/>
      <c r="Q7" s="699"/>
      <c r="R7" s="699"/>
      <c r="S7" s="699"/>
    </row>
    <row r="8" spans="3:19" ht="15">
      <c r="C8" s="4" t="s">
        <v>711</v>
      </c>
      <c r="D8" s="699"/>
      <c r="E8" s="699"/>
      <c r="F8" s="699"/>
      <c r="G8" s="767"/>
      <c r="H8" s="767">
        <v>1.4220399999999999E-2</v>
      </c>
      <c r="I8" s="767">
        <v>8.5527400000000003E-2</v>
      </c>
      <c r="J8" s="767">
        <v>0</v>
      </c>
      <c r="L8" s="4" t="s">
        <v>711</v>
      </c>
      <c r="M8" s="699"/>
      <c r="N8" s="699"/>
      <c r="O8" s="699"/>
      <c r="P8" s="699"/>
      <c r="Q8" s="699"/>
      <c r="R8" s="699"/>
      <c r="S8" s="699"/>
    </row>
    <row r="9" spans="3:19" ht="15">
      <c r="C9" s="4" t="s">
        <v>150</v>
      </c>
      <c r="D9" s="699"/>
      <c r="E9" s="699"/>
      <c r="F9" s="699"/>
      <c r="G9" s="767"/>
      <c r="H9" s="767">
        <v>0</v>
      </c>
      <c r="I9" s="699"/>
      <c r="J9" s="699"/>
      <c r="L9" s="4" t="s">
        <v>150</v>
      </c>
      <c r="M9" s="699"/>
      <c r="N9" s="699"/>
      <c r="O9" s="699"/>
      <c r="P9" s="699"/>
      <c r="Q9" s="699"/>
      <c r="R9" s="699"/>
      <c r="S9" s="699"/>
    </row>
    <row r="10" spans="3:19">
      <c r="C10" s="703" t="s">
        <v>808</v>
      </c>
      <c r="D10" s="767">
        <f>SUM(D4:D9)</f>
        <v>0</v>
      </c>
      <c r="E10" s="767">
        <f t="shared" ref="E10" si="0">SUM(E4:E9)</f>
        <v>0</v>
      </c>
      <c r="F10" s="767">
        <f t="shared" ref="F10" si="1">SUM(F4:F9)</f>
        <v>0</v>
      </c>
      <c r="G10" s="767">
        <f t="shared" ref="G10" si="2">SUM(G4:G9)</f>
        <v>0</v>
      </c>
      <c r="H10" s="767">
        <f t="shared" ref="H10" si="3">SUM(H4:H9)</f>
        <v>2.2161699999999999E-2</v>
      </c>
      <c r="I10" s="767">
        <f t="shared" ref="I10" si="4">SUM(I4:I9)</f>
        <v>8.9483199999999999E-2</v>
      </c>
      <c r="J10" s="767">
        <f t="shared" ref="J10" si="5">SUM(J4:J9)</f>
        <v>-5.0641628000000001</v>
      </c>
      <c r="L10" s="703" t="s">
        <v>808</v>
      </c>
      <c r="M10" s="767">
        <f>SUM(M4:M9)</f>
        <v>0</v>
      </c>
      <c r="N10" s="767">
        <f t="shared" ref="N10" si="6">SUM(N4:N9)</f>
        <v>0</v>
      </c>
      <c r="O10" s="767">
        <f t="shared" ref="O10" si="7">SUM(O4:O9)</f>
        <v>0</v>
      </c>
      <c r="P10" s="767">
        <f t="shared" ref="P10" si="8">SUM(P4:P9)</f>
        <v>0</v>
      </c>
      <c r="Q10" s="767">
        <f t="shared" ref="Q10" si="9">SUM(Q4:Q9)</f>
        <v>0</v>
      </c>
      <c r="R10" s="767">
        <f t="shared" ref="R10" si="10">SUM(R4:R9)</f>
        <v>0</v>
      </c>
      <c r="S10" s="767">
        <f t="shared" ref="S10" si="11">SUM(S4:S9)</f>
        <v>0</v>
      </c>
    </row>
    <row r="11" spans="3:19">
      <c r="C11" s="695" t="s">
        <v>897</v>
      </c>
      <c r="D11" s="811">
        <v>179.6</v>
      </c>
      <c r="E11" s="695">
        <v>370.63</v>
      </c>
      <c r="F11" s="738">
        <v>8.9</v>
      </c>
      <c r="G11" s="738">
        <v>3</v>
      </c>
      <c r="H11" s="695">
        <v>0.02</v>
      </c>
      <c r="I11" s="695">
        <v>0.09</v>
      </c>
      <c r="J11" s="738">
        <v>9.5999999999999992E-3</v>
      </c>
      <c r="M11" s="779"/>
      <c r="N11" s="801"/>
      <c r="O11" s="738"/>
      <c r="P11" s="738"/>
    </row>
    <row r="12" spans="3:19">
      <c r="D12" s="805">
        <f t="shared" ref="D12:G12" si="12">D10-D11</f>
        <v>-179.6</v>
      </c>
      <c r="E12" s="805">
        <f t="shared" si="12"/>
        <v>-370.63</v>
      </c>
      <c r="F12" s="805">
        <f t="shared" si="12"/>
        <v>-8.9</v>
      </c>
      <c r="G12" s="805">
        <f t="shared" si="12"/>
        <v>-3</v>
      </c>
      <c r="H12" s="805">
        <f>H10-H11</f>
        <v>2.161699999999999E-3</v>
      </c>
      <c r="I12" s="805">
        <f t="shared" ref="I12:J12" si="13">I10-I11</f>
        <v>-5.1679999999999782E-4</v>
      </c>
      <c r="J12" s="805">
        <f t="shared" si="13"/>
        <v>-5.0737627999999999</v>
      </c>
      <c r="M12" s="803"/>
      <c r="N12" s="801"/>
    </row>
    <row r="13" spans="3:19">
      <c r="D13" s="803"/>
      <c r="E13" s="804"/>
      <c r="F13" s="804"/>
      <c r="G13" s="804"/>
      <c r="H13" s="804"/>
      <c r="I13" s="804"/>
      <c r="J13" s="804"/>
      <c r="M13" s="803"/>
      <c r="N13" s="804"/>
      <c r="O13" s="804"/>
      <c r="P13" s="804"/>
      <c r="Q13" s="804"/>
      <c r="R13" s="804"/>
      <c r="S13" s="804"/>
    </row>
    <row r="14" spans="3:19">
      <c r="C14" s="1229" t="s">
        <v>916</v>
      </c>
      <c r="D14" s="1229"/>
      <c r="E14" s="1229"/>
      <c r="F14" s="1229"/>
      <c r="G14" s="1229"/>
      <c r="H14" s="1229"/>
      <c r="I14" s="1229"/>
      <c r="J14" s="1229"/>
      <c r="L14" s="1229" t="s">
        <v>916</v>
      </c>
      <c r="M14" s="1229"/>
      <c r="N14" s="1229"/>
      <c r="O14" s="1229"/>
      <c r="P14" s="1229"/>
      <c r="Q14" s="1229"/>
      <c r="R14" s="1229"/>
      <c r="S14" s="1229"/>
    </row>
    <row r="15" spans="3:19" ht="16">
      <c r="C15" s="802" t="s">
        <v>893</v>
      </c>
      <c r="D15" s="795" t="s">
        <v>746</v>
      </c>
      <c r="E15" s="795" t="s">
        <v>747</v>
      </c>
      <c r="F15" s="795" t="s">
        <v>748</v>
      </c>
      <c r="G15" s="795" t="s">
        <v>749</v>
      </c>
      <c r="H15" s="795" t="s">
        <v>750</v>
      </c>
      <c r="I15" s="795" t="s">
        <v>751</v>
      </c>
      <c r="J15" s="795" t="s">
        <v>753</v>
      </c>
      <c r="L15" s="802" t="s">
        <v>893</v>
      </c>
      <c r="M15" s="795" t="s">
        <v>746</v>
      </c>
      <c r="N15" s="795" t="s">
        <v>747</v>
      </c>
      <c r="O15" s="795" t="s">
        <v>748</v>
      </c>
      <c r="P15" s="795" t="s">
        <v>749</v>
      </c>
      <c r="Q15" s="795" t="s">
        <v>750</v>
      </c>
      <c r="R15" s="795" t="s">
        <v>751</v>
      </c>
      <c r="S15" s="795" t="s">
        <v>753</v>
      </c>
    </row>
    <row r="16" spans="3:19">
      <c r="C16" s="699" t="s">
        <v>897</v>
      </c>
      <c r="D16" s="779">
        <v>179.6</v>
      </c>
      <c r="E16" s="703">
        <v>370.63</v>
      </c>
      <c r="F16" s="767">
        <v>8.9</v>
      </c>
      <c r="G16" s="767">
        <v>3</v>
      </c>
      <c r="H16" s="809">
        <v>2.2161699999999999E-2</v>
      </c>
      <c r="I16" s="699">
        <v>0.09</v>
      </c>
      <c r="J16" s="699">
        <v>0.01</v>
      </c>
      <c r="L16" s="699" t="s">
        <v>897</v>
      </c>
      <c r="M16" s="779">
        <f>179.6</f>
        <v>179.6</v>
      </c>
      <c r="N16" s="779">
        <f>370.63</f>
        <v>370.63</v>
      </c>
      <c r="O16" s="767">
        <v>8.9</v>
      </c>
      <c r="P16" s="767">
        <v>3</v>
      </c>
      <c r="Q16" s="809">
        <v>2.2161699999999999E-2</v>
      </c>
      <c r="R16" s="699">
        <v>0.09</v>
      </c>
      <c r="S16" s="699">
        <v>0.01</v>
      </c>
    </row>
    <row r="17" spans="3:19">
      <c r="C17" s="699" t="s">
        <v>900</v>
      </c>
      <c r="D17" s="779"/>
      <c r="E17" s="703"/>
      <c r="F17" s="699">
        <v>4.92</v>
      </c>
      <c r="G17" s="699">
        <v>1.52</v>
      </c>
      <c r="H17" s="699">
        <v>0.01</v>
      </c>
      <c r="I17" s="699"/>
      <c r="J17" s="699">
        <v>5.07</v>
      </c>
      <c r="L17" s="699" t="s">
        <v>900</v>
      </c>
      <c r="M17" s="767">
        <v>2.2599999999999998</v>
      </c>
      <c r="N17" s="699">
        <v>2.81</v>
      </c>
      <c r="O17" s="699">
        <v>4.92</v>
      </c>
      <c r="P17" s="699">
        <v>1.52</v>
      </c>
      <c r="Q17" s="699">
        <v>0.01</v>
      </c>
      <c r="R17" s="699"/>
      <c r="S17" s="699"/>
    </row>
    <row r="18" spans="3:19">
      <c r="C18" s="699" t="s">
        <v>898</v>
      </c>
      <c r="D18" s="779">
        <f>D16-D17</f>
        <v>179.6</v>
      </c>
      <c r="E18" s="783">
        <f>D18+E16-E17</f>
        <v>550.23</v>
      </c>
      <c r="F18" s="783">
        <f t="shared" ref="F18" si="14">E18+F16-F17</f>
        <v>554.21</v>
      </c>
      <c r="G18" s="783">
        <f t="shared" ref="G18" si="15">F18+G16-G17</f>
        <v>555.69000000000005</v>
      </c>
      <c r="H18" s="783">
        <f t="shared" ref="H18" si="16">G18+H16-H17</f>
        <v>555.70216170000003</v>
      </c>
      <c r="I18" s="783">
        <f t="shared" ref="I18" si="17">H18+I16-I17</f>
        <v>555.79216170000007</v>
      </c>
      <c r="J18" s="783">
        <f t="shared" ref="J18" si="18">I18+J16-J17</f>
        <v>550.73216170000001</v>
      </c>
      <c r="L18" s="699" t="s">
        <v>898</v>
      </c>
      <c r="M18" s="779">
        <f>M16-M17</f>
        <v>177.34</v>
      </c>
      <c r="N18" s="783">
        <f>M18+N16-N17</f>
        <v>545.16000000000008</v>
      </c>
      <c r="O18" s="783">
        <f t="shared" ref="O18" si="19">N18+O16-O17</f>
        <v>549.1400000000001</v>
      </c>
      <c r="P18" s="783">
        <f t="shared" ref="P18" si="20">O18+P16-P17</f>
        <v>550.62000000000012</v>
      </c>
      <c r="Q18" s="783">
        <f t="shared" ref="Q18" si="21">P18+Q16-Q17</f>
        <v>550.6321617000001</v>
      </c>
      <c r="R18" s="783">
        <f t="shared" ref="R18" si="22">Q18+R16-R17</f>
        <v>550.72216170000013</v>
      </c>
      <c r="S18" s="783">
        <f t="shared" ref="S18" si="23">R18+S16-S17</f>
        <v>550.73216170000012</v>
      </c>
    </row>
    <row r="19" spans="3:19">
      <c r="C19" s="699" t="s">
        <v>895</v>
      </c>
      <c r="D19" s="699">
        <v>6.74</v>
      </c>
      <c r="E19" s="699">
        <v>7.77</v>
      </c>
      <c r="F19" s="699">
        <v>29.16</v>
      </c>
      <c r="G19" s="699">
        <v>29.3</v>
      </c>
      <c r="H19" s="699">
        <v>29.34</v>
      </c>
      <c r="I19" s="699">
        <v>29.08</v>
      </c>
      <c r="J19" s="699">
        <v>28.98</v>
      </c>
      <c r="L19" s="699" t="s">
        <v>908</v>
      </c>
      <c r="M19" s="699">
        <v>6.65</v>
      </c>
      <c r="N19" s="699">
        <v>7.69</v>
      </c>
      <c r="O19" s="699">
        <v>28.89</v>
      </c>
      <c r="P19" s="699">
        <v>29.04</v>
      </c>
      <c r="Q19" s="699">
        <v>29.07</v>
      </c>
      <c r="R19" s="699">
        <v>29.08</v>
      </c>
      <c r="S19" s="699">
        <v>28.98</v>
      </c>
    </row>
    <row r="20" spans="3:19" ht="30">
      <c r="C20" s="699"/>
      <c r="D20" s="699"/>
      <c r="E20" s="699"/>
      <c r="F20" s="699"/>
      <c r="G20" s="699"/>
      <c r="H20" s="699"/>
      <c r="I20" s="699"/>
      <c r="J20" s="699"/>
      <c r="L20" s="768" t="s">
        <v>909</v>
      </c>
      <c r="M20" s="699"/>
      <c r="N20" s="699"/>
      <c r="O20" s="699">
        <v>0.46</v>
      </c>
      <c r="P20" s="699">
        <v>0.17</v>
      </c>
      <c r="Q20" s="699"/>
      <c r="R20" s="699"/>
      <c r="S20" s="699"/>
    </row>
    <row r="21" spans="3:19">
      <c r="C21" s="699" t="s">
        <v>899</v>
      </c>
      <c r="D21" s="779">
        <f>D19</f>
        <v>6.74</v>
      </c>
      <c r="E21" s="783">
        <f>D21+E19</f>
        <v>14.51</v>
      </c>
      <c r="F21" s="783">
        <f t="shared" ref="F21" si="24">E21+F19</f>
        <v>43.67</v>
      </c>
      <c r="G21" s="783">
        <f t="shared" ref="G21" si="25">F21+G19</f>
        <v>72.97</v>
      </c>
      <c r="H21" s="783">
        <f t="shared" ref="H21" si="26">G21+H19</f>
        <v>102.31</v>
      </c>
      <c r="I21" s="783">
        <f t="shared" ref="I21" si="27">H21+I19</f>
        <v>131.38999999999999</v>
      </c>
      <c r="J21" s="783">
        <f t="shared" ref="J21" si="28">I21+J19</f>
        <v>160.36999999999998</v>
      </c>
      <c r="L21" s="699" t="s">
        <v>899</v>
      </c>
      <c r="M21" s="779">
        <f>M19-M20</f>
        <v>6.65</v>
      </c>
      <c r="N21" s="783">
        <f>M21+N19-N20</f>
        <v>14.34</v>
      </c>
      <c r="O21" s="783">
        <f t="shared" ref="O21:S21" si="29">N21+O19-O20</f>
        <v>42.77</v>
      </c>
      <c r="P21" s="783">
        <f t="shared" si="29"/>
        <v>71.64</v>
      </c>
      <c r="Q21" s="783">
        <f t="shared" si="29"/>
        <v>100.71000000000001</v>
      </c>
      <c r="R21" s="783">
        <f t="shared" si="29"/>
        <v>129.79000000000002</v>
      </c>
      <c r="S21" s="783">
        <f t="shared" si="29"/>
        <v>158.77000000000001</v>
      </c>
    </row>
    <row r="22" spans="3:19">
      <c r="O22" s="805"/>
      <c r="P22" s="805"/>
    </row>
    <row r="23" spans="3:19" ht="15">
      <c r="C23" s="1178" t="s">
        <v>4</v>
      </c>
      <c r="D23" s="987" t="s">
        <v>896</v>
      </c>
      <c r="E23" s="988"/>
      <c r="F23" s="988"/>
      <c r="G23" s="988"/>
      <c r="H23" s="988"/>
      <c r="I23" s="988"/>
      <c r="J23" s="989"/>
      <c r="L23" s="1233" t="s">
        <v>4</v>
      </c>
      <c r="M23" s="1230" t="s">
        <v>892</v>
      </c>
      <c r="N23" s="1231"/>
      <c r="O23" s="1231"/>
      <c r="P23" s="1231"/>
      <c r="Q23" s="1231"/>
      <c r="R23" s="1231"/>
      <c r="S23" s="1232"/>
    </row>
    <row r="24" spans="3:19" ht="16">
      <c r="C24" s="1179"/>
      <c r="D24" s="795" t="s">
        <v>746</v>
      </c>
      <c r="E24" s="795" t="s">
        <v>747</v>
      </c>
      <c r="F24" s="795" t="s">
        <v>748</v>
      </c>
      <c r="G24" s="795" t="s">
        <v>749</v>
      </c>
      <c r="H24" s="795" t="s">
        <v>750</v>
      </c>
      <c r="I24" s="795" t="s">
        <v>751</v>
      </c>
      <c r="J24" s="795" t="s">
        <v>753</v>
      </c>
      <c r="L24" s="1234"/>
      <c r="M24" s="818" t="s">
        <v>746</v>
      </c>
      <c r="N24" s="818" t="s">
        <v>747</v>
      </c>
      <c r="O24" s="818" t="s">
        <v>748</v>
      </c>
      <c r="P24" s="818" t="s">
        <v>749</v>
      </c>
      <c r="Q24" s="818" t="s">
        <v>750</v>
      </c>
      <c r="R24" s="818" t="s">
        <v>751</v>
      </c>
      <c r="S24" s="818" t="s">
        <v>753</v>
      </c>
    </row>
    <row r="25" spans="3:19" ht="15">
      <c r="C25" s="310" t="s">
        <v>167</v>
      </c>
      <c r="D25" s="591">
        <f>0</f>
        <v>0</v>
      </c>
      <c r="E25" s="591">
        <f t="shared" ref="E25:J25" si="30">D30</f>
        <v>127.96</v>
      </c>
      <c r="F25" s="591">
        <f t="shared" si="30"/>
        <v>398.16249999999997</v>
      </c>
      <c r="G25" s="591">
        <f t="shared" si="30"/>
        <v>371.54249999999996</v>
      </c>
      <c r="H25" s="591">
        <f t="shared" si="30"/>
        <v>343.20249999999999</v>
      </c>
      <c r="I25" s="591">
        <f t="shared" si="30"/>
        <v>313.87051319</v>
      </c>
      <c r="J25" s="591">
        <f t="shared" si="30"/>
        <v>284.84351319000001</v>
      </c>
      <c r="L25" s="310" t="s">
        <v>167</v>
      </c>
      <c r="M25" s="591">
        <f>0</f>
        <v>0</v>
      </c>
      <c r="N25" s="591">
        <f t="shared" ref="N25:S25" si="31">M30</f>
        <v>126.35999999999999</v>
      </c>
      <c r="O25" s="591">
        <f t="shared" si="31"/>
        <v>394.61499999999995</v>
      </c>
      <c r="P25" s="591">
        <f t="shared" si="31"/>
        <v>368.72499999999997</v>
      </c>
      <c r="Q25" s="591">
        <f t="shared" si="31"/>
        <v>340.815</v>
      </c>
      <c r="R25" s="591">
        <f t="shared" si="31"/>
        <v>311.75301318999999</v>
      </c>
      <c r="S25" s="591">
        <f t="shared" si="31"/>
        <v>282.73601318999999</v>
      </c>
    </row>
    <row r="26" spans="3:19" ht="15">
      <c r="C26" s="310" t="s">
        <v>752</v>
      </c>
      <c r="D26" s="588">
        <v>134.69999999999999</v>
      </c>
      <c r="E26" s="588">
        <f>E16*75%</f>
        <v>277.97249999999997</v>
      </c>
      <c r="F26" s="588">
        <f>F16*70%</f>
        <v>6.2299999999999995</v>
      </c>
      <c r="G26" s="588">
        <f>G16*70%</f>
        <v>2.0999999999999996</v>
      </c>
      <c r="H26" s="588">
        <f t="shared" ref="H26:J26" si="32">H16*70%</f>
        <v>1.5513189999999998E-2</v>
      </c>
      <c r="I26" s="588">
        <f t="shared" si="32"/>
        <v>6.3E-2</v>
      </c>
      <c r="J26" s="588">
        <f t="shared" si="32"/>
        <v>6.9999999999999993E-3</v>
      </c>
      <c r="L26" s="310" t="s">
        <v>752</v>
      </c>
      <c r="M26" s="588">
        <f>M16*75%</f>
        <v>134.69999999999999</v>
      </c>
      <c r="N26" s="588">
        <f>N16*75%</f>
        <v>277.97249999999997</v>
      </c>
      <c r="O26" s="588">
        <f>O16*70%</f>
        <v>6.2299999999999995</v>
      </c>
      <c r="P26" s="588">
        <f>P16*70%</f>
        <v>2.0999999999999996</v>
      </c>
      <c r="Q26" s="588">
        <f t="shared" ref="Q26:S26" si="33">Q16*70%</f>
        <v>1.5513189999999998E-2</v>
      </c>
      <c r="R26" s="588">
        <f t="shared" si="33"/>
        <v>6.3E-2</v>
      </c>
      <c r="S26" s="588">
        <f t="shared" si="33"/>
        <v>6.9999999999999993E-3</v>
      </c>
    </row>
    <row r="27" spans="3:19" ht="15">
      <c r="C27" s="310" t="s">
        <v>917</v>
      </c>
      <c r="D27" s="591">
        <f>D19</f>
        <v>6.74</v>
      </c>
      <c r="E27" s="591">
        <f>E19</f>
        <v>7.77</v>
      </c>
      <c r="F27" s="591">
        <f>F19</f>
        <v>29.16</v>
      </c>
      <c r="G27" s="588">
        <f>G19</f>
        <v>29.3</v>
      </c>
      <c r="H27" s="588">
        <f t="shared" ref="H27:J27" si="34">H19</f>
        <v>29.34</v>
      </c>
      <c r="I27" s="588">
        <f>I19</f>
        <v>29.08</v>
      </c>
      <c r="J27" s="588">
        <f t="shared" si="34"/>
        <v>28.98</v>
      </c>
      <c r="L27" s="310" t="s">
        <v>917</v>
      </c>
      <c r="M27" s="591">
        <v>6.6449999999999996</v>
      </c>
      <c r="N27" s="591">
        <v>7.61</v>
      </c>
      <c r="O27" s="591">
        <v>28.89</v>
      </c>
      <c r="P27" s="588">
        <v>29.04</v>
      </c>
      <c r="Q27" s="588">
        <v>29.07</v>
      </c>
      <c r="R27" s="588">
        <v>29.08</v>
      </c>
      <c r="S27" s="588">
        <v>28.98</v>
      </c>
    </row>
    <row r="28" spans="3:19" ht="32">
      <c r="C28" s="806" t="s">
        <v>901</v>
      </c>
      <c r="D28" s="588"/>
      <c r="E28" s="588"/>
      <c r="F28" s="588">
        <f>F17*75%</f>
        <v>3.69</v>
      </c>
      <c r="G28" s="588">
        <f>G17*75%</f>
        <v>1.1400000000000001</v>
      </c>
      <c r="H28" s="588">
        <f>H17*75%</f>
        <v>7.4999999999999997E-3</v>
      </c>
      <c r="I28" s="588">
        <f t="shared" ref="I28:J28" si="35">I17*75%</f>
        <v>0</v>
      </c>
      <c r="J28" s="588">
        <f t="shared" si="35"/>
        <v>3.8025000000000002</v>
      </c>
      <c r="L28" s="806" t="s">
        <v>901</v>
      </c>
      <c r="M28" s="588">
        <f>M17*75%</f>
        <v>1.6949999999999998</v>
      </c>
      <c r="N28" s="588">
        <f>N17*75%</f>
        <v>2.1074999999999999</v>
      </c>
      <c r="O28" s="588">
        <f>O17*75%</f>
        <v>3.69</v>
      </c>
      <c r="P28" s="588">
        <f>P17*75%</f>
        <v>1.1400000000000001</v>
      </c>
      <c r="Q28" s="588">
        <f t="shared" ref="Q28:S28" si="36">Q17*75%</f>
        <v>7.4999999999999997E-3</v>
      </c>
      <c r="R28" s="588">
        <f t="shared" si="36"/>
        <v>0</v>
      </c>
      <c r="S28" s="588">
        <f t="shared" si="36"/>
        <v>0</v>
      </c>
    </row>
    <row r="29" spans="3:19" ht="32">
      <c r="C29" s="806"/>
      <c r="D29" s="588"/>
      <c r="E29" s="588"/>
      <c r="F29" s="588"/>
      <c r="G29" s="588"/>
      <c r="H29" s="588"/>
      <c r="I29" s="588"/>
      <c r="J29" s="588"/>
      <c r="L29" s="806" t="s">
        <v>926</v>
      </c>
      <c r="M29" s="588"/>
      <c r="N29" s="588"/>
      <c r="O29" s="588">
        <f>O20</f>
        <v>0.46</v>
      </c>
      <c r="P29" s="588">
        <f>P20</f>
        <v>0.17</v>
      </c>
      <c r="Q29" s="588"/>
      <c r="R29" s="588"/>
      <c r="S29" s="588"/>
    </row>
    <row r="30" spans="3:19" ht="15">
      <c r="C30" s="308" t="s">
        <v>906</v>
      </c>
      <c r="D30" s="810">
        <f>D25+D26-D27-D28</f>
        <v>127.96</v>
      </c>
      <c r="E30" s="810">
        <f>E25+E26-E27-E28</f>
        <v>398.16249999999997</v>
      </c>
      <c r="F30" s="810">
        <f>F25+F26-F27-F28</f>
        <v>371.54249999999996</v>
      </c>
      <c r="G30" s="810">
        <f>G25+G26-G27-G28</f>
        <v>343.20249999999999</v>
      </c>
      <c r="H30" s="810">
        <f>H25+H26-H27-H28</f>
        <v>313.87051319</v>
      </c>
      <c r="I30" s="810">
        <f>I25+I26-I27-I28-0.01</f>
        <v>284.84351319000001</v>
      </c>
      <c r="J30" s="810">
        <f>J25+J26-J27-J28</f>
        <v>252.06801319000002</v>
      </c>
      <c r="L30" s="308" t="s">
        <v>906</v>
      </c>
      <c r="M30" s="810">
        <f t="shared" ref="M30:N30" si="37">M25+M26-M27-M28+M29</f>
        <v>126.35999999999999</v>
      </c>
      <c r="N30" s="810">
        <f t="shared" si="37"/>
        <v>394.61499999999995</v>
      </c>
      <c r="O30" s="810">
        <f>O25+O26-O27-O28+O29</f>
        <v>368.72499999999997</v>
      </c>
      <c r="P30" s="810">
        <f t="shared" ref="P30:S30" si="38">P25+P26-P27-P28+P29</f>
        <v>340.815</v>
      </c>
      <c r="Q30" s="810">
        <f t="shared" si="38"/>
        <v>311.75301318999999</v>
      </c>
      <c r="R30" s="810">
        <f t="shared" si="38"/>
        <v>282.73601318999999</v>
      </c>
      <c r="S30" s="810">
        <f t="shared" si="38"/>
        <v>253.76301319000001</v>
      </c>
    </row>
    <row r="31" spans="3:19">
      <c r="F31" s="805"/>
      <c r="G31" s="805"/>
      <c r="H31" s="805"/>
      <c r="O31" s="805"/>
    </row>
    <row r="32" spans="3:19">
      <c r="C32" s="1229" t="s">
        <v>912</v>
      </c>
      <c r="D32" s="1229"/>
      <c r="E32" s="1229"/>
      <c r="F32" s="1229"/>
      <c r="G32" s="1229"/>
      <c r="H32" s="1229"/>
      <c r="I32" s="1229"/>
      <c r="J32" s="1229"/>
      <c r="L32" s="1229" t="s">
        <v>912</v>
      </c>
      <c r="M32" s="1229"/>
      <c r="N32" s="1229"/>
      <c r="O32" s="1229"/>
      <c r="P32" s="1229"/>
      <c r="Q32" s="1229"/>
      <c r="R32" s="1229"/>
      <c r="S32" s="1229"/>
    </row>
    <row r="33" spans="3:19" ht="16">
      <c r="C33" s="802" t="s">
        <v>893</v>
      </c>
      <c r="D33" s="795" t="s">
        <v>746</v>
      </c>
      <c r="E33" s="795" t="s">
        <v>747</v>
      </c>
      <c r="F33" s="795" t="s">
        <v>748</v>
      </c>
      <c r="G33" s="795" t="s">
        <v>749</v>
      </c>
      <c r="H33" s="795" t="s">
        <v>750</v>
      </c>
      <c r="I33" s="795" t="s">
        <v>751</v>
      </c>
      <c r="J33" s="795" t="s">
        <v>753</v>
      </c>
      <c r="L33" s="802" t="s">
        <v>893</v>
      </c>
      <c r="M33" s="795" t="s">
        <v>746</v>
      </c>
      <c r="N33" s="795" t="s">
        <v>747</v>
      </c>
      <c r="O33" s="795" t="s">
        <v>748</v>
      </c>
      <c r="P33" s="795" t="s">
        <v>749</v>
      </c>
      <c r="Q33" s="795" t="s">
        <v>750</v>
      </c>
      <c r="R33" s="795" t="s">
        <v>751</v>
      </c>
      <c r="S33" s="795" t="s">
        <v>753</v>
      </c>
    </row>
    <row r="34" spans="3:19" ht="15">
      <c r="C34" s="310" t="s">
        <v>167</v>
      </c>
      <c r="D34" s="779">
        <v>0</v>
      </c>
      <c r="E34" s="783">
        <f>D37</f>
        <v>44.9</v>
      </c>
      <c r="F34" s="783">
        <f t="shared" ref="F34:J34" si="39">E37</f>
        <v>137.5575</v>
      </c>
      <c r="G34" s="783">
        <f t="shared" si="39"/>
        <v>138.9975</v>
      </c>
      <c r="H34" s="783">
        <f t="shared" si="39"/>
        <v>139.51750000000001</v>
      </c>
      <c r="I34" s="783">
        <f t="shared" si="39"/>
        <v>139.52164851000001</v>
      </c>
      <c r="J34" s="783">
        <f t="shared" si="39"/>
        <v>139.54864850999999</v>
      </c>
      <c r="L34" s="310" t="s">
        <v>167</v>
      </c>
      <c r="M34" s="779">
        <v>0</v>
      </c>
      <c r="N34" s="783">
        <f>M37</f>
        <v>44.335000000000001</v>
      </c>
      <c r="O34" s="783">
        <f t="shared" ref="O34:S34" si="40">N37</f>
        <v>136.29000000000002</v>
      </c>
      <c r="P34" s="783">
        <f t="shared" si="40"/>
        <v>137.73000000000002</v>
      </c>
      <c r="Q34" s="783">
        <f t="shared" si="40"/>
        <v>138.25000000000003</v>
      </c>
      <c r="R34" s="783">
        <f t="shared" si="40"/>
        <v>138.25414851000002</v>
      </c>
      <c r="S34" s="783">
        <f t="shared" si="40"/>
        <v>138.28114851000001</v>
      </c>
    </row>
    <row r="35" spans="3:19" ht="15">
      <c r="C35" s="310" t="s">
        <v>229</v>
      </c>
      <c r="D35" s="767">
        <f>D16*25%</f>
        <v>44.9</v>
      </c>
      <c r="E35" s="767">
        <f>E16*25%</f>
        <v>92.657499999999999</v>
      </c>
      <c r="F35" s="767">
        <f>F16*30%</f>
        <v>2.67</v>
      </c>
      <c r="G35" s="767">
        <f>G16*30%</f>
        <v>0.89999999999999991</v>
      </c>
      <c r="H35" s="767">
        <f>H16*30%</f>
        <v>6.6485099999999998E-3</v>
      </c>
      <c r="I35" s="767">
        <f>I16*30%</f>
        <v>2.7E-2</v>
      </c>
      <c r="J35" s="767">
        <f>J16*30%</f>
        <v>3.0000000000000001E-3</v>
      </c>
      <c r="L35" s="310" t="s">
        <v>229</v>
      </c>
      <c r="M35" s="767">
        <f>M16*25%</f>
        <v>44.9</v>
      </c>
      <c r="N35" s="767">
        <f>N16*25%</f>
        <v>92.657499999999999</v>
      </c>
      <c r="O35" s="767">
        <f>O16*30%</f>
        <v>2.67</v>
      </c>
      <c r="P35" s="767">
        <f>P16*30%</f>
        <v>0.89999999999999991</v>
      </c>
      <c r="Q35" s="767">
        <f t="shared" ref="Q35:S35" si="41">Q16*30%</f>
        <v>6.6485099999999998E-3</v>
      </c>
      <c r="R35" s="767">
        <f t="shared" si="41"/>
        <v>2.7E-2</v>
      </c>
      <c r="S35" s="767">
        <f t="shared" si="41"/>
        <v>3.0000000000000001E-3</v>
      </c>
    </row>
    <row r="36" spans="3:19" ht="32">
      <c r="C36" s="806" t="s">
        <v>907</v>
      </c>
      <c r="D36" s="767">
        <f>D17*25%</f>
        <v>0</v>
      </c>
      <c r="E36" s="767">
        <f>E17*25%</f>
        <v>0</v>
      </c>
      <c r="F36" s="767">
        <f>F17*25%</f>
        <v>1.23</v>
      </c>
      <c r="G36" s="767">
        <f>G17*25%</f>
        <v>0.38</v>
      </c>
      <c r="H36" s="767">
        <f>H17*25%</f>
        <v>2.5000000000000001E-3</v>
      </c>
      <c r="I36" s="767">
        <f>I17*30%</f>
        <v>0</v>
      </c>
      <c r="J36" s="767">
        <f>J17*25%</f>
        <v>1.2675000000000001</v>
      </c>
      <c r="L36" s="806" t="s">
        <v>907</v>
      </c>
      <c r="M36" s="767">
        <f>M17*25%</f>
        <v>0.56499999999999995</v>
      </c>
      <c r="N36" s="767">
        <f>N17*25%</f>
        <v>0.70250000000000001</v>
      </c>
      <c r="O36" s="767">
        <f>O17*25%</f>
        <v>1.23</v>
      </c>
      <c r="P36" s="767">
        <f>P17*25%</f>
        <v>0.38</v>
      </c>
      <c r="Q36" s="767">
        <f>Q17*25%</f>
        <v>2.5000000000000001E-3</v>
      </c>
      <c r="R36" s="767">
        <f>R17*30%</f>
        <v>0</v>
      </c>
      <c r="S36" s="767">
        <f>S17*25%</f>
        <v>0</v>
      </c>
    </row>
    <row r="37" spans="3:19" ht="15">
      <c r="C37" s="308" t="s">
        <v>906</v>
      </c>
      <c r="D37" s="779">
        <f>D34+D35-D36</f>
        <v>44.9</v>
      </c>
      <c r="E37" s="779">
        <f t="shared" ref="E37:J37" si="42">E34+E35-E36</f>
        <v>137.5575</v>
      </c>
      <c r="F37" s="779">
        <f t="shared" si="42"/>
        <v>138.9975</v>
      </c>
      <c r="G37" s="779">
        <f t="shared" si="42"/>
        <v>139.51750000000001</v>
      </c>
      <c r="H37" s="779">
        <f t="shared" si="42"/>
        <v>139.52164851000001</v>
      </c>
      <c r="I37" s="779">
        <f t="shared" si="42"/>
        <v>139.54864850999999</v>
      </c>
      <c r="J37" s="779">
        <f t="shared" si="42"/>
        <v>138.28414850999997</v>
      </c>
      <c r="L37" s="308" t="s">
        <v>906</v>
      </c>
      <c r="M37" s="779">
        <f>M34+M35-M36</f>
        <v>44.335000000000001</v>
      </c>
      <c r="N37" s="779">
        <f t="shared" ref="N37" si="43">N34+N35-N36</f>
        <v>136.29000000000002</v>
      </c>
      <c r="O37" s="779">
        <f t="shared" ref="O37" si="44">O34+O35-O36</f>
        <v>137.73000000000002</v>
      </c>
      <c r="P37" s="779">
        <f t="shared" ref="P37" si="45">P34+P35-P36</f>
        <v>138.25000000000003</v>
      </c>
      <c r="Q37" s="779">
        <f t="shared" ref="Q37" si="46">Q34+Q35-Q36</f>
        <v>138.25414851000002</v>
      </c>
      <c r="R37" s="779">
        <f t="shared" ref="R37" si="47">R34+R35-R36</f>
        <v>138.28114851000001</v>
      </c>
      <c r="S37" s="779">
        <f t="shared" ref="S37" si="48">S34+S35-S36</f>
        <v>138.28414850999999</v>
      </c>
    </row>
    <row r="38" spans="3:19">
      <c r="F38" s="805">
        <f>F35-F36</f>
        <v>1.44</v>
      </c>
      <c r="G38" s="805">
        <f t="shared" ref="G38:H38" si="49">G35-G36</f>
        <v>0.51999999999999991</v>
      </c>
      <c r="H38" s="805">
        <f t="shared" si="49"/>
        <v>4.1485099999999994E-3</v>
      </c>
    </row>
  </sheetData>
  <protectedRanges>
    <protectedRange sqref="C4:C9 L4:L9" name="Protect_Sch5"/>
  </protectedRanges>
  <mergeCells count="12">
    <mergeCell ref="C1:J1"/>
    <mergeCell ref="L1:S1"/>
    <mergeCell ref="C14:J14"/>
    <mergeCell ref="L14:S14"/>
    <mergeCell ref="C32:J32"/>
    <mergeCell ref="L32:S32"/>
    <mergeCell ref="M23:S23"/>
    <mergeCell ref="L23:L24"/>
    <mergeCell ref="C2:J2"/>
    <mergeCell ref="C23:C24"/>
    <mergeCell ref="D23:J23"/>
    <mergeCell ref="L2:S2"/>
  </mergeCells>
  <pageMargins left="0.7" right="0.7" top="0.75" bottom="0.75" header="0.3" footer="0.3"/>
  <pageSetup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B2:P29"/>
  <sheetViews>
    <sheetView showGridLines="0" topLeftCell="D26" workbookViewId="0">
      <selection activeCell="E71" sqref="E71"/>
    </sheetView>
  </sheetViews>
  <sheetFormatPr baseColWidth="10" defaultColWidth="9.1640625" defaultRowHeight="14"/>
  <cols>
    <col min="1" max="1" width="9.1640625" style="668"/>
    <col min="2" max="2" width="32.83203125" style="668" customWidth="1"/>
    <col min="3" max="4" width="13.83203125" style="668" bestFit="1" customWidth="1"/>
    <col min="5" max="5" width="12" style="668" bestFit="1" customWidth="1"/>
    <col min="6" max="6" width="9.1640625" style="668"/>
    <col min="7" max="7" width="6.1640625" style="668" bestFit="1" customWidth="1"/>
    <col min="8" max="8" width="37.5" style="819" customWidth="1"/>
    <col min="9" max="16" width="9.83203125" style="668" bestFit="1" customWidth="1"/>
    <col min="17" max="16384" width="9.1640625" style="668"/>
  </cols>
  <sheetData>
    <row r="2" spans="2:16" ht="15">
      <c r="B2" s="679" t="s">
        <v>779</v>
      </c>
      <c r="C2" s="679" t="s">
        <v>780</v>
      </c>
      <c r="D2" s="679" t="s">
        <v>781</v>
      </c>
      <c r="E2" s="679" t="s">
        <v>782</v>
      </c>
    </row>
    <row r="3" spans="2:16">
      <c r="B3" s="680" t="s">
        <v>783</v>
      </c>
      <c r="C3" s="681">
        <f>350000*1.18</f>
        <v>413000</v>
      </c>
      <c r="D3" s="669"/>
      <c r="E3" s="682">
        <f>C3</f>
        <v>413000</v>
      </c>
    </row>
    <row r="4" spans="2:16">
      <c r="B4" s="680" t="s">
        <v>784</v>
      </c>
      <c r="C4" s="681">
        <f>200000*1.18</f>
        <v>236000</v>
      </c>
      <c r="D4" s="683">
        <f>C4</f>
        <v>236000</v>
      </c>
      <c r="E4" s="669"/>
    </row>
    <row r="5" spans="2:16">
      <c r="B5" s="680" t="s">
        <v>785</v>
      </c>
      <c r="C5" s="681">
        <f>D5+E5</f>
        <v>178000</v>
      </c>
      <c r="D5" s="683">
        <v>178000</v>
      </c>
      <c r="E5" s="799"/>
    </row>
    <row r="6" spans="2:16">
      <c r="B6" s="680" t="s">
        <v>786</v>
      </c>
      <c r="C6" s="684">
        <f>1016410*1.18</f>
        <v>1199363.8</v>
      </c>
      <c r="D6" s="683">
        <f>C6</f>
        <v>1199363.8</v>
      </c>
      <c r="E6" s="669"/>
    </row>
    <row r="7" spans="2:16">
      <c r="B7" s="680" t="s">
        <v>787</v>
      </c>
      <c r="C7" s="684">
        <f>239.77*0.4*10^5*1.18</f>
        <v>11317144.000000002</v>
      </c>
      <c r="D7" s="683">
        <f>C7</f>
        <v>11317144.000000002</v>
      </c>
      <c r="E7" s="669"/>
    </row>
    <row r="8" spans="2:16">
      <c r="B8" s="680" t="s">
        <v>788</v>
      </c>
      <c r="C8" s="684">
        <f>1001000+30000+200200</f>
        <v>1231200</v>
      </c>
      <c r="D8" s="683">
        <v>200200</v>
      </c>
      <c r="E8" s="682">
        <f>C8-D8</f>
        <v>1031000</v>
      </c>
    </row>
    <row r="9" spans="2:16">
      <c r="B9" s="685" t="s">
        <v>789</v>
      </c>
      <c r="C9" s="686">
        <f>SUM(C3:C8)</f>
        <v>14574707.800000003</v>
      </c>
      <c r="D9" s="686">
        <f>SUM(D3:D8)</f>
        <v>13130707.800000003</v>
      </c>
      <c r="E9" s="686">
        <f>SUM(E3:E8)</f>
        <v>1444000</v>
      </c>
    </row>
    <row r="10" spans="2:16">
      <c r="B10" s="680" t="s">
        <v>927</v>
      </c>
      <c r="C10" s="686">
        <f>D10+E10</f>
        <v>195574</v>
      </c>
      <c r="D10" s="681">
        <v>77574</v>
      </c>
      <c r="E10" s="681">
        <v>118000</v>
      </c>
    </row>
    <row r="11" spans="2:16">
      <c r="B11" s="680" t="s">
        <v>146</v>
      </c>
      <c r="C11" s="686">
        <f>D11+E11</f>
        <v>16641</v>
      </c>
      <c r="D11" s="681">
        <v>11114</v>
      </c>
      <c r="E11" s="681">
        <v>5527</v>
      </c>
    </row>
    <row r="12" spans="2:16">
      <c r="B12" s="685" t="s">
        <v>890</v>
      </c>
      <c r="C12" s="686">
        <f>C11+C10</f>
        <v>212215</v>
      </c>
      <c r="D12" s="686">
        <f>D11+D10</f>
        <v>88688</v>
      </c>
      <c r="E12" s="686">
        <f>E11+E10</f>
        <v>123527</v>
      </c>
    </row>
    <row r="13" spans="2:16" ht="15">
      <c r="B13" s="798" t="s">
        <v>891</v>
      </c>
      <c r="C13" s="800">
        <f>C9+C12</f>
        <v>14786922.800000003</v>
      </c>
      <c r="D13" s="800">
        <f t="shared" ref="D13:E13" si="0">D9+D12</f>
        <v>13219395.800000003</v>
      </c>
      <c r="E13" s="800">
        <f t="shared" si="0"/>
        <v>1567527</v>
      </c>
    </row>
    <row r="14" spans="2:16" ht="15">
      <c r="G14" s="687" t="s">
        <v>226</v>
      </c>
      <c r="H14" s="687" t="s">
        <v>4</v>
      </c>
      <c r="I14" s="687" t="s">
        <v>213</v>
      </c>
      <c r="J14" s="687" t="s">
        <v>214</v>
      </c>
      <c r="K14" s="687" t="s">
        <v>215</v>
      </c>
      <c r="L14" s="687" t="s">
        <v>540</v>
      </c>
      <c r="M14" s="687" t="s">
        <v>541</v>
      </c>
      <c r="N14" s="687" t="s">
        <v>542</v>
      </c>
      <c r="O14" s="687" t="s">
        <v>543</v>
      </c>
      <c r="P14" s="687" t="s">
        <v>544</v>
      </c>
    </row>
    <row r="15" spans="2:16" ht="15">
      <c r="G15" s="688">
        <v>1</v>
      </c>
      <c r="H15" s="820" t="s">
        <v>249</v>
      </c>
      <c r="I15" s="659">
        <f>'F5'!E13</f>
        <v>253.76301319000001</v>
      </c>
      <c r="J15" s="659">
        <f>I17</f>
        <v>224.66619426646</v>
      </c>
      <c r="K15" s="659">
        <f t="shared" ref="K15:P15" si="1">J17</f>
        <v>195.56937534291998</v>
      </c>
      <c r="L15" s="659">
        <f t="shared" si="1"/>
        <v>166.47255641937997</v>
      </c>
      <c r="M15" s="659">
        <f t="shared" si="1"/>
        <v>137.37573749583996</v>
      </c>
      <c r="N15" s="659">
        <f t="shared" si="1"/>
        <v>108.27891857229994</v>
      </c>
      <c r="O15" s="659">
        <f t="shared" si="1"/>
        <v>79.18209964875993</v>
      </c>
      <c r="P15" s="659">
        <f t="shared" si="1"/>
        <v>50.085280725219924</v>
      </c>
    </row>
    <row r="16" spans="2:16" ht="15">
      <c r="G16" s="688">
        <v>2</v>
      </c>
      <c r="H16" s="820" t="s">
        <v>251</v>
      </c>
      <c r="I16" s="659">
        <f>'F5'!E16</f>
        <v>29.096818923540006</v>
      </c>
      <c r="J16" s="659">
        <f>I16</f>
        <v>29.096818923540006</v>
      </c>
      <c r="K16" s="659">
        <f t="shared" ref="K16:P16" si="2">J16</f>
        <v>29.096818923540006</v>
      </c>
      <c r="L16" s="659">
        <f t="shared" si="2"/>
        <v>29.096818923540006</v>
      </c>
      <c r="M16" s="659">
        <f t="shared" si="2"/>
        <v>29.096818923540006</v>
      </c>
      <c r="N16" s="659">
        <f t="shared" si="2"/>
        <v>29.096818923540006</v>
      </c>
      <c r="O16" s="659">
        <f t="shared" si="2"/>
        <v>29.096818923540006</v>
      </c>
      <c r="P16" s="659">
        <f t="shared" si="2"/>
        <v>29.096818923540006</v>
      </c>
    </row>
    <row r="17" spans="7:16" ht="15">
      <c r="G17" s="688">
        <f t="shared" ref="G17:G23" si="3">G16+1</f>
        <v>3</v>
      </c>
      <c r="H17" s="820" t="s">
        <v>252</v>
      </c>
      <c r="I17" s="659">
        <f>I15-I16</f>
        <v>224.66619426646</v>
      </c>
      <c r="J17" s="659">
        <f t="shared" ref="J17:P17" si="4">J15-J16</f>
        <v>195.56937534291998</v>
      </c>
      <c r="K17" s="659">
        <f t="shared" si="4"/>
        <v>166.47255641937997</v>
      </c>
      <c r="L17" s="659">
        <f t="shared" si="4"/>
        <v>137.37573749583996</v>
      </c>
      <c r="M17" s="659">
        <f t="shared" si="4"/>
        <v>108.27891857229994</v>
      </c>
      <c r="N17" s="659">
        <f t="shared" si="4"/>
        <v>79.18209964875993</v>
      </c>
      <c r="O17" s="659">
        <f t="shared" si="4"/>
        <v>50.085280725219924</v>
      </c>
      <c r="P17" s="659">
        <f t="shared" si="4"/>
        <v>20.988461801679918</v>
      </c>
    </row>
    <row r="18" spans="7:16" ht="15">
      <c r="G18" s="688">
        <f t="shared" si="3"/>
        <v>4</v>
      </c>
      <c r="H18" s="820" t="s">
        <v>349</v>
      </c>
      <c r="I18" s="659">
        <f t="shared" ref="I18:P18" si="5">AVERAGE(I17,I15)</f>
        <v>239.21460372823</v>
      </c>
      <c r="J18" s="659">
        <f t="shared" si="5"/>
        <v>210.11778480468999</v>
      </c>
      <c r="K18" s="659">
        <f t="shared" si="5"/>
        <v>181.02096588114998</v>
      </c>
      <c r="L18" s="659">
        <f t="shared" si="5"/>
        <v>151.92414695760996</v>
      </c>
      <c r="M18" s="659">
        <f t="shared" si="5"/>
        <v>122.82732803406995</v>
      </c>
      <c r="N18" s="659">
        <f t="shared" si="5"/>
        <v>93.730509110529937</v>
      </c>
      <c r="O18" s="659">
        <f t="shared" si="5"/>
        <v>64.633690186989924</v>
      </c>
      <c r="P18" s="659">
        <f t="shared" si="5"/>
        <v>35.536871263449925</v>
      </c>
    </row>
    <row r="19" spans="7:16" ht="30">
      <c r="G19" s="688">
        <f t="shared" si="3"/>
        <v>5</v>
      </c>
      <c r="H19" s="820" t="s">
        <v>790</v>
      </c>
      <c r="I19" s="660">
        <v>0.106</v>
      </c>
      <c r="J19" s="660">
        <v>0.106</v>
      </c>
      <c r="K19" s="660">
        <v>0.106</v>
      </c>
      <c r="L19" s="660">
        <v>0.106</v>
      </c>
      <c r="M19" s="660">
        <v>0.106</v>
      </c>
      <c r="N19" s="660">
        <v>0.106</v>
      </c>
      <c r="O19" s="660">
        <v>0.106</v>
      </c>
      <c r="P19" s="660">
        <v>0.106</v>
      </c>
    </row>
    <row r="20" spans="7:16" ht="15">
      <c r="G20" s="688">
        <f t="shared" si="3"/>
        <v>6</v>
      </c>
      <c r="H20" s="820" t="s">
        <v>791</v>
      </c>
      <c r="I20" s="659">
        <f>I18*I19/12*7</f>
        <v>14.791436330528887</v>
      </c>
      <c r="J20" s="659">
        <f t="shared" ref="J20:P20" si="6">J18*J19</f>
        <v>22.272485189297139</v>
      </c>
      <c r="K20" s="659">
        <f t="shared" si="6"/>
        <v>19.188222383401897</v>
      </c>
      <c r="L20" s="659">
        <f t="shared" si="6"/>
        <v>16.103959577506657</v>
      </c>
      <c r="M20" s="659">
        <f t="shared" si="6"/>
        <v>13.019696771611414</v>
      </c>
      <c r="N20" s="659">
        <f t="shared" si="6"/>
        <v>9.9354339657161734</v>
      </c>
      <c r="O20" s="659">
        <f t="shared" si="6"/>
        <v>6.8511711598209315</v>
      </c>
      <c r="P20" s="659">
        <f t="shared" si="6"/>
        <v>3.7669083539256918</v>
      </c>
    </row>
    <row r="21" spans="7:16" ht="30">
      <c r="G21" s="688">
        <f t="shared" si="3"/>
        <v>7</v>
      </c>
      <c r="H21" s="820" t="s">
        <v>792</v>
      </c>
      <c r="I21" s="660">
        <f>'F5'!E107</f>
        <v>9.2552104436347732E-2</v>
      </c>
      <c r="J21" s="660">
        <f>'F5'!H20</f>
        <v>9.3083561643835633E-2</v>
      </c>
      <c r="K21" s="660">
        <f>'F5'!K20</f>
        <v>9.35E-2</v>
      </c>
      <c r="L21" s="660">
        <f>'F5'!M20</f>
        <v>9.35E-2</v>
      </c>
      <c r="M21" s="660">
        <f>'F5'!N20</f>
        <v>9.3500000000000014E-2</v>
      </c>
      <c r="N21" s="660">
        <f>'F5'!O20</f>
        <v>9.35E-2</v>
      </c>
      <c r="O21" s="660">
        <f>'F5'!P20</f>
        <v>9.35E-2</v>
      </c>
      <c r="P21" s="660">
        <f>'F5'!Q20</f>
        <v>9.35E-2</v>
      </c>
    </row>
    <row r="22" spans="7:16" ht="15">
      <c r="G22" s="688">
        <f t="shared" si="3"/>
        <v>8</v>
      </c>
      <c r="H22" s="820" t="s">
        <v>793</v>
      </c>
      <c r="I22" s="659">
        <f>I18*I21/12*7</f>
        <v>12.914892075723563</v>
      </c>
      <c r="J22" s="659">
        <f t="shared" ref="J22:P22" si="7">J18*J21</f>
        <v>19.558511774333549</v>
      </c>
      <c r="K22" s="659">
        <f t="shared" si="7"/>
        <v>16.925460309887523</v>
      </c>
      <c r="L22" s="659">
        <f t="shared" si="7"/>
        <v>14.204907740536532</v>
      </c>
      <c r="M22" s="659">
        <f t="shared" si="7"/>
        <v>11.484355171185541</v>
      </c>
      <c r="N22" s="659">
        <f t="shared" si="7"/>
        <v>8.7638026018345485</v>
      </c>
      <c r="O22" s="659">
        <f t="shared" si="7"/>
        <v>6.0432500324835576</v>
      </c>
      <c r="P22" s="659">
        <f t="shared" si="7"/>
        <v>3.3226974631325681</v>
      </c>
    </row>
    <row r="23" spans="7:16" ht="15">
      <c r="G23" s="688">
        <f t="shared" si="3"/>
        <v>9</v>
      </c>
      <c r="H23" s="820" t="s">
        <v>794</v>
      </c>
      <c r="I23" s="659">
        <f t="shared" ref="I23:P23" si="8">I20-I22</f>
        <v>1.8765442548053244</v>
      </c>
      <c r="J23" s="659">
        <f t="shared" si="8"/>
        <v>2.7139734149635899</v>
      </c>
      <c r="K23" s="659">
        <f t="shared" si="8"/>
        <v>2.2627620735143736</v>
      </c>
      <c r="L23" s="659">
        <f t="shared" si="8"/>
        <v>1.8990518369701253</v>
      </c>
      <c r="M23" s="659">
        <f t="shared" si="8"/>
        <v>1.5353416004258733</v>
      </c>
      <c r="N23" s="659">
        <f t="shared" si="8"/>
        <v>1.1716313638816249</v>
      </c>
      <c r="O23" s="659">
        <f t="shared" si="8"/>
        <v>0.80792112733737387</v>
      </c>
      <c r="P23" s="659">
        <f t="shared" si="8"/>
        <v>0.4442108907931237</v>
      </c>
    </row>
    <row r="24" spans="7:16" ht="15">
      <c r="G24" s="688">
        <v>3</v>
      </c>
      <c r="H24" s="821" t="s">
        <v>795</v>
      </c>
      <c r="I24" s="689">
        <f>NPV(9.25%,I23:P23)</f>
        <v>9.3892646082381166</v>
      </c>
    </row>
    <row r="25" spans="7:16" ht="15">
      <c r="G25" s="688">
        <v>4</v>
      </c>
      <c r="H25" s="821" t="s">
        <v>796</v>
      </c>
      <c r="I25" s="690">
        <f>C9/10^7</f>
        <v>1.4574707800000002</v>
      </c>
    </row>
    <row r="26" spans="7:16" ht="15">
      <c r="G26" s="688">
        <f t="shared" ref="G26" si="9">G25+1</f>
        <v>5</v>
      </c>
      <c r="H26" s="821" t="s">
        <v>797</v>
      </c>
      <c r="I26" s="689">
        <f>I24-I25</f>
        <v>7.9317938282381162</v>
      </c>
    </row>
    <row r="28" spans="7:16" ht="15">
      <c r="H28" s="821" t="s">
        <v>798</v>
      </c>
      <c r="I28" s="691">
        <f>(10.6%-9.25%)/3</f>
        <v>4.4999999999999997E-3</v>
      </c>
      <c r="J28" s="691">
        <f t="shared" ref="J28:P28" si="10">(10.6%-9.25%)/3</f>
        <v>4.4999999999999997E-3</v>
      </c>
      <c r="K28" s="691">
        <f t="shared" si="10"/>
        <v>4.4999999999999997E-3</v>
      </c>
      <c r="L28" s="691">
        <f t="shared" si="10"/>
        <v>4.4999999999999997E-3</v>
      </c>
      <c r="M28" s="691">
        <f t="shared" si="10"/>
        <v>4.4999999999999997E-3</v>
      </c>
      <c r="N28" s="691">
        <f t="shared" si="10"/>
        <v>4.4999999999999997E-3</v>
      </c>
      <c r="O28" s="691">
        <f t="shared" si="10"/>
        <v>4.4999999999999997E-3</v>
      </c>
      <c r="P28" s="691">
        <f t="shared" si="10"/>
        <v>4.4999999999999997E-3</v>
      </c>
    </row>
    <row r="29" spans="7:16" ht="15">
      <c r="H29" s="821" t="s">
        <v>799</v>
      </c>
      <c r="I29" s="692">
        <v>0.62793833478660366</v>
      </c>
      <c r="J29" s="692">
        <v>0.94553003162110483</v>
      </c>
      <c r="K29" s="692">
        <v>0.81459434646517481</v>
      </c>
      <c r="L29" s="692">
        <v>0.6836586613092448</v>
      </c>
      <c r="M29" s="692">
        <v>0.55272297615331478</v>
      </c>
      <c r="N29" s="692">
        <v>0.42178729099738466</v>
      </c>
      <c r="O29" s="692">
        <v>0.29085160584145464</v>
      </c>
      <c r="P29" s="692">
        <v>0.15991592068552465</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D1:J18"/>
  <sheetViews>
    <sheetView showGridLines="0" workbookViewId="0">
      <selection activeCell="E71" sqref="E71"/>
    </sheetView>
  </sheetViews>
  <sheetFormatPr baseColWidth="10" defaultColWidth="9.1640625" defaultRowHeight="14"/>
  <cols>
    <col min="1" max="3" width="9.1640625" style="695"/>
    <col min="4" max="4" width="33.33203125" style="695" bestFit="1" customWidth="1"/>
    <col min="5" max="5" width="10.1640625" style="695" bestFit="1" customWidth="1"/>
    <col min="6" max="7" width="9.1640625" style="695"/>
    <col min="8" max="8" width="10.1640625" style="695" bestFit="1" customWidth="1"/>
    <col min="9" max="16384" width="9.1640625" style="695"/>
  </cols>
  <sheetData>
    <row r="1" spans="4:10">
      <c r="D1" s="1237" t="str">
        <f>Index!B2</f>
        <v>Jaigad Power Transco Ltd</v>
      </c>
      <c r="E1" s="1237"/>
      <c r="F1" s="1237"/>
      <c r="G1" s="1237"/>
    </row>
    <row r="3" spans="4:10">
      <c r="D3" s="1238" t="s">
        <v>928</v>
      </c>
      <c r="E3" s="1238"/>
      <c r="F3" s="1238"/>
      <c r="G3" s="1238"/>
      <c r="H3" s="1238"/>
      <c r="I3" s="1238"/>
      <c r="J3" s="1238"/>
    </row>
    <row r="4" spans="4:10">
      <c r="D4" s="822" t="s">
        <v>4</v>
      </c>
      <c r="E4" s="822" t="s">
        <v>816</v>
      </c>
      <c r="F4" s="822" t="s">
        <v>817</v>
      </c>
      <c r="G4" s="822" t="s">
        <v>818</v>
      </c>
      <c r="H4" s="822" t="s">
        <v>816</v>
      </c>
      <c r="I4" s="822" t="s">
        <v>817</v>
      </c>
      <c r="J4" s="822" t="s">
        <v>818</v>
      </c>
    </row>
    <row r="5" spans="4:10">
      <c r="D5" s="822"/>
      <c r="E5" s="1239" t="s">
        <v>213</v>
      </c>
      <c r="F5" s="1240"/>
      <c r="G5" s="1241"/>
      <c r="H5" s="1239" t="s">
        <v>214</v>
      </c>
      <c r="I5" s="1240"/>
      <c r="J5" s="1241"/>
    </row>
    <row r="6" spans="4:10">
      <c r="D6" s="699" t="s">
        <v>929</v>
      </c>
      <c r="E6" s="700">
        <v>42826</v>
      </c>
      <c r="F6" s="699">
        <f>E7-E6</f>
        <v>91</v>
      </c>
      <c r="G6" s="701">
        <v>9.0999999999999998E-2</v>
      </c>
      <c r="H6" s="700">
        <v>43191</v>
      </c>
      <c r="I6" s="699">
        <f>H7-H6</f>
        <v>61</v>
      </c>
      <c r="J6" s="701">
        <v>8.1500000000000003E-2</v>
      </c>
    </row>
    <row r="7" spans="4:10">
      <c r="D7" s="699" t="s">
        <v>810</v>
      </c>
      <c r="E7" s="700">
        <v>42917</v>
      </c>
      <c r="F7" s="699">
        <f t="shared" ref="F7:F9" si="0">E8-E7</f>
        <v>92</v>
      </c>
      <c r="G7" s="701">
        <v>0.09</v>
      </c>
      <c r="H7" s="700">
        <v>43252</v>
      </c>
      <c r="I7" s="699">
        <f t="shared" ref="I7:I9" si="1">H8-H7</f>
        <v>92</v>
      </c>
      <c r="J7" s="701">
        <v>8.2500000000000004E-2</v>
      </c>
    </row>
    <row r="8" spans="4:10">
      <c r="D8" s="700" t="s">
        <v>810</v>
      </c>
      <c r="E8" s="700">
        <v>43009</v>
      </c>
      <c r="F8" s="699">
        <f t="shared" si="0"/>
        <v>59</v>
      </c>
      <c r="G8" s="701">
        <v>8.9499999999999996E-2</v>
      </c>
      <c r="H8" s="700">
        <v>43344</v>
      </c>
      <c r="I8" s="699">
        <f t="shared" si="1"/>
        <v>30</v>
      </c>
      <c r="J8" s="701">
        <v>8.4500000000000006E-2</v>
      </c>
    </row>
    <row r="9" spans="4:10">
      <c r="D9" s="699" t="s">
        <v>811</v>
      </c>
      <c r="E9" s="700">
        <v>43068</v>
      </c>
      <c r="F9" s="699">
        <f t="shared" si="0"/>
        <v>92</v>
      </c>
      <c r="G9" s="701">
        <v>7.9500000000000001E-2</v>
      </c>
      <c r="H9" s="700">
        <v>43374</v>
      </c>
      <c r="I9" s="699">
        <f t="shared" si="1"/>
        <v>70</v>
      </c>
      <c r="J9" s="701">
        <v>8.5000000000000006E-2</v>
      </c>
    </row>
    <row r="10" spans="4:10">
      <c r="D10" s="701" t="s">
        <v>810</v>
      </c>
      <c r="E10" s="700">
        <v>43160</v>
      </c>
      <c r="F10" s="699">
        <f>E11-E10</f>
        <v>30</v>
      </c>
      <c r="G10" s="701">
        <v>8.1500000000000003E-2</v>
      </c>
      <c r="H10" s="700">
        <v>43444</v>
      </c>
      <c r="I10" s="699">
        <f>H11-H10</f>
        <v>111</v>
      </c>
      <c r="J10" s="701">
        <v>8.5500000000000007E-2</v>
      </c>
    </row>
    <row r="11" spans="4:10">
      <c r="D11" s="699" t="s">
        <v>812</v>
      </c>
      <c r="E11" s="700">
        <v>43190</v>
      </c>
      <c r="F11" s="699"/>
      <c r="G11" s="701">
        <v>8.1500000000000003E-2</v>
      </c>
      <c r="H11" s="700">
        <v>43555</v>
      </c>
      <c r="I11" s="699"/>
      <c r="J11" s="701">
        <v>8.5500000000000007E-2</v>
      </c>
    </row>
    <row r="12" spans="4:10">
      <c r="D12" s="702" t="s">
        <v>813</v>
      </c>
      <c r="E12" s="703"/>
      <c r="F12" s="703"/>
      <c r="G12" s="704">
        <f>SUMPRODUCT(F6:F11,G6:G11)/SUM(F6:F11)</f>
        <v>8.6814560439560443E-2</v>
      </c>
      <c r="H12" s="703"/>
      <c r="I12" s="703"/>
      <c r="J12" s="704">
        <f>SUMPRODUCT(I6:I11,J6:J11)/SUM(I6:I11)</f>
        <v>8.3892857142857144E-2</v>
      </c>
    </row>
    <row r="13" spans="4:10">
      <c r="D13" s="703" t="s">
        <v>814</v>
      </c>
      <c r="E13" s="703"/>
      <c r="F13" s="703"/>
      <c r="G13" s="704">
        <v>1.4999999999999999E-2</v>
      </c>
      <c r="H13" s="703"/>
      <c r="I13" s="703"/>
      <c r="J13" s="704">
        <v>1.4999999999999999E-2</v>
      </c>
    </row>
    <row r="14" spans="4:10">
      <c r="D14" s="704" t="s">
        <v>815</v>
      </c>
      <c r="E14" s="703"/>
      <c r="F14" s="703"/>
      <c r="G14" s="704">
        <f>G12+G13</f>
        <v>0.10181456043956044</v>
      </c>
      <c r="H14" s="699"/>
      <c r="I14" s="699"/>
      <c r="J14" s="704">
        <f>J12+J13</f>
        <v>9.8892857142857143E-2</v>
      </c>
    </row>
    <row r="15" spans="4:10">
      <c r="D15" s="1235" t="s">
        <v>819</v>
      </c>
      <c r="E15" s="1236"/>
      <c r="F15" s="1236"/>
      <c r="G15" s="1236"/>
      <c r="H15" s="699"/>
      <c r="I15" s="699"/>
      <c r="J15" s="699"/>
    </row>
    <row r="18" spans="4:4">
      <c r="D18" s="698"/>
    </row>
  </sheetData>
  <mergeCells count="5">
    <mergeCell ref="D15:G15"/>
    <mergeCell ref="D1:G1"/>
    <mergeCell ref="D3:J3"/>
    <mergeCell ref="E5:G5"/>
    <mergeCell ref="H5:J5"/>
  </mergeCells>
  <hyperlinks>
    <hyperlink ref="D15" r:id="rId1" xr:uid="{00000000-0004-0000-2300-000000000000}"/>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B1:P22"/>
  <sheetViews>
    <sheetView showGridLines="0" workbookViewId="0">
      <selection activeCell="E71" sqref="E71"/>
    </sheetView>
  </sheetViews>
  <sheetFormatPr baseColWidth="10" defaultColWidth="9.1640625" defaultRowHeight="14"/>
  <cols>
    <col min="1" max="1" width="9.1640625" style="713"/>
    <col min="2" max="2" width="10.5" style="713" bestFit="1" customWidth="1"/>
    <col min="3" max="7" width="10.5" style="713" customWidth="1"/>
    <col min="8" max="9" width="10.5" style="713" hidden="1" customWidth="1"/>
    <col min="10" max="15" width="10.5" style="713" customWidth="1"/>
    <col min="16" max="16384" width="9.1640625" style="713"/>
  </cols>
  <sheetData>
    <row r="1" spans="2:16">
      <c r="B1" s="1243" t="str">
        <f>Index!B2</f>
        <v>Jaigad Power Transco Ltd</v>
      </c>
      <c r="C1" s="1243"/>
      <c r="D1" s="1243"/>
      <c r="E1" s="1243"/>
      <c r="F1" s="1243"/>
      <c r="G1" s="1243"/>
      <c r="H1" s="1243"/>
      <c r="I1" s="1243"/>
      <c r="J1" s="1243"/>
      <c r="K1" s="1243"/>
      <c r="L1" s="1243"/>
      <c r="M1" s="1243"/>
      <c r="N1" s="1243"/>
      <c r="O1" s="1243"/>
    </row>
    <row r="2" spans="2:16">
      <c r="H2" s="1242" t="s">
        <v>820</v>
      </c>
      <c r="I2" s="1242"/>
      <c r="J2" s="1242"/>
      <c r="K2" s="1242"/>
      <c r="L2" s="1242"/>
      <c r="M2" s="1242"/>
      <c r="N2" s="1242"/>
      <c r="O2" s="1242"/>
      <c r="P2" s="714"/>
    </row>
    <row r="3" spans="2:16" ht="64">
      <c r="B3" s="362" t="s">
        <v>454</v>
      </c>
      <c r="C3" s="362" t="s">
        <v>821</v>
      </c>
      <c r="D3" s="362" t="s">
        <v>822</v>
      </c>
      <c r="E3" s="362" t="s">
        <v>823</v>
      </c>
      <c r="F3" s="362" t="s">
        <v>824</v>
      </c>
      <c r="G3" s="362" t="s">
        <v>918</v>
      </c>
      <c r="H3" s="362" t="s">
        <v>213</v>
      </c>
      <c r="I3" s="362" t="s">
        <v>214</v>
      </c>
      <c r="J3" s="362" t="s">
        <v>215</v>
      </c>
      <c r="K3" s="362" t="s">
        <v>540</v>
      </c>
      <c r="L3" s="362" t="s">
        <v>541</v>
      </c>
      <c r="M3" s="362" t="s">
        <v>542</v>
      </c>
      <c r="N3" s="362" t="s">
        <v>543</v>
      </c>
      <c r="O3" s="362" t="s">
        <v>544</v>
      </c>
    </row>
    <row r="4" spans="2:16" ht="30">
      <c r="B4" s="715" t="s">
        <v>825</v>
      </c>
      <c r="C4" s="716">
        <v>41857</v>
      </c>
      <c r="D4" s="717">
        <v>3.4</v>
      </c>
      <c r="E4" s="717">
        <v>3.2418999999999998</v>
      </c>
      <c r="F4" s="660">
        <v>8.2799999999999999E-2</v>
      </c>
      <c r="G4" s="712">
        <f>SUM(C22:E22)</f>
        <v>3.2199999999999998</v>
      </c>
      <c r="H4" s="718">
        <f t="shared" ref="H4:O4" si="0">$G$4*$F$4</f>
        <v>0.26661599999999996</v>
      </c>
      <c r="I4" s="718">
        <f t="shared" si="0"/>
        <v>0.26661599999999996</v>
      </c>
      <c r="J4" s="718">
        <f t="shared" si="0"/>
        <v>0.26661599999999996</v>
      </c>
      <c r="K4" s="718">
        <f t="shared" si="0"/>
        <v>0.26661599999999996</v>
      </c>
      <c r="L4" s="718">
        <f t="shared" si="0"/>
        <v>0.26661599999999996</v>
      </c>
      <c r="M4" s="718">
        <f t="shared" si="0"/>
        <v>0.26661599999999996</v>
      </c>
      <c r="N4" s="718">
        <f t="shared" si="0"/>
        <v>0.26661599999999996</v>
      </c>
      <c r="O4" s="718">
        <f t="shared" si="0"/>
        <v>0.26661599999999996</v>
      </c>
    </row>
    <row r="5" spans="2:16" ht="15">
      <c r="B5" s="719" t="s">
        <v>749</v>
      </c>
      <c r="C5" s="720">
        <v>41911</v>
      </c>
      <c r="D5" s="721">
        <v>1.5</v>
      </c>
      <c r="E5" s="721">
        <v>1.4835</v>
      </c>
      <c r="F5" s="722">
        <v>8.3299999999999999E-2</v>
      </c>
      <c r="G5" s="723">
        <f>F22</f>
        <v>1.39</v>
      </c>
      <c r="H5" s="723">
        <f>$G$5*$F$5</f>
        <v>0.11578699999999999</v>
      </c>
      <c r="I5" s="723">
        <f t="shared" ref="I5:O5" si="1">$G$5*$F$5</f>
        <v>0.11578699999999999</v>
      </c>
      <c r="J5" s="723">
        <f t="shared" si="1"/>
        <v>0.11578699999999999</v>
      </c>
      <c r="K5" s="723">
        <f t="shared" si="1"/>
        <v>0.11578699999999999</v>
      </c>
      <c r="L5" s="723">
        <f t="shared" si="1"/>
        <v>0.11578699999999999</v>
      </c>
      <c r="M5" s="723">
        <f t="shared" si="1"/>
        <v>0.11578699999999999</v>
      </c>
      <c r="N5" s="723">
        <f t="shared" si="1"/>
        <v>0.11578699999999999</v>
      </c>
      <c r="O5" s="723">
        <f t="shared" si="1"/>
        <v>0.11578699999999999</v>
      </c>
    </row>
    <row r="6" spans="2:16" ht="15">
      <c r="B6" s="719" t="s">
        <v>750</v>
      </c>
      <c r="C6" s="720">
        <v>42277</v>
      </c>
      <c r="D6" s="721">
        <v>1.35</v>
      </c>
      <c r="E6" s="721">
        <v>1.38645</v>
      </c>
      <c r="F6" s="722">
        <v>8.2799999999999999E-2</v>
      </c>
      <c r="G6" s="723">
        <f>G22</f>
        <v>1.39</v>
      </c>
      <c r="H6" s="723">
        <f>$G$6*$F$6</f>
        <v>0.11509199999999999</v>
      </c>
      <c r="I6" s="723">
        <f t="shared" ref="I6:O6" si="2">$G$6*$F$6</f>
        <v>0.11509199999999999</v>
      </c>
      <c r="J6" s="723">
        <f t="shared" si="2"/>
        <v>0.11509199999999999</v>
      </c>
      <c r="K6" s="723">
        <f t="shared" si="2"/>
        <v>0.11509199999999999</v>
      </c>
      <c r="L6" s="723">
        <f t="shared" si="2"/>
        <v>0.11509199999999999</v>
      </c>
      <c r="M6" s="723">
        <f t="shared" si="2"/>
        <v>0.11509199999999999</v>
      </c>
      <c r="N6" s="723">
        <f t="shared" si="2"/>
        <v>0.11509199999999999</v>
      </c>
      <c r="O6" s="723">
        <f t="shared" si="2"/>
        <v>0.11509199999999999</v>
      </c>
    </row>
    <row r="7" spans="2:16" ht="15">
      <c r="B7" s="719" t="s">
        <v>751</v>
      </c>
      <c r="C7" s="720">
        <v>42711</v>
      </c>
      <c r="D7" s="721">
        <v>1.4</v>
      </c>
      <c r="E7" s="721">
        <v>1.7930164</v>
      </c>
      <c r="F7" s="722">
        <v>9.2299999999999993E-2</v>
      </c>
      <c r="G7" s="723">
        <f>H22</f>
        <v>1.39</v>
      </c>
      <c r="H7" s="723">
        <f>$G$7*$F$7</f>
        <v>0.12829699999999999</v>
      </c>
      <c r="I7" s="723">
        <f t="shared" ref="I7:O7" si="3">$G$7*$F$7</f>
        <v>0.12829699999999999</v>
      </c>
      <c r="J7" s="723">
        <f t="shared" si="3"/>
        <v>0.12829699999999999</v>
      </c>
      <c r="K7" s="723">
        <f t="shared" si="3"/>
        <v>0.12829699999999999</v>
      </c>
      <c r="L7" s="723">
        <f t="shared" si="3"/>
        <v>0.12829699999999999</v>
      </c>
      <c r="M7" s="723">
        <f t="shared" si="3"/>
        <v>0.12829699999999999</v>
      </c>
      <c r="N7" s="723">
        <f t="shared" si="3"/>
        <v>0.12829699999999999</v>
      </c>
      <c r="O7" s="723">
        <f t="shared" si="3"/>
        <v>0.12829699999999999</v>
      </c>
    </row>
    <row r="8" spans="2:16" ht="15">
      <c r="B8" s="719" t="s">
        <v>753</v>
      </c>
      <c r="C8" s="720">
        <v>43003</v>
      </c>
      <c r="D8" s="721">
        <v>1.4</v>
      </c>
      <c r="E8" s="721">
        <v>1.54504</v>
      </c>
      <c r="F8" s="722">
        <v>8.2799999999999999E-2</v>
      </c>
      <c r="G8" s="723">
        <f>I22</f>
        <v>1.38</v>
      </c>
      <c r="H8" s="723">
        <f>G8*F8/2</f>
        <v>5.7131999999999995E-2</v>
      </c>
      <c r="I8" s="723">
        <f>$G$8*$F$8</f>
        <v>0.11426399999999999</v>
      </c>
      <c r="J8" s="723">
        <f t="shared" ref="J8:O8" si="4">$G$8*$F$8</f>
        <v>0.11426399999999999</v>
      </c>
      <c r="K8" s="723">
        <f t="shared" si="4"/>
        <v>0.11426399999999999</v>
      </c>
      <c r="L8" s="723">
        <f t="shared" si="4"/>
        <v>0.11426399999999999</v>
      </c>
      <c r="M8" s="723">
        <f t="shared" si="4"/>
        <v>0.11426399999999999</v>
      </c>
      <c r="N8" s="723">
        <f t="shared" si="4"/>
        <v>0.11426399999999999</v>
      </c>
      <c r="O8" s="723">
        <f t="shared" si="4"/>
        <v>0.11426399999999999</v>
      </c>
    </row>
    <row r="9" spans="2:16" ht="15">
      <c r="B9" s="719" t="s">
        <v>213</v>
      </c>
      <c r="C9" s="720">
        <v>43368</v>
      </c>
      <c r="D9" s="721">
        <v>1.4</v>
      </c>
      <c r="E9" s="721">
        <v>1.4063000000000001</v>
      </c>
      <c r="F9" s="722">
        <v>8.3199999999999996E-2</v>
      </c>
      <c r="G9" s="723">
        <f>'F10'!E12</f>
        <v>1.3768242062500002</v>
      </c>
      <c r="H9" s="723"/>
      <c r="I9" s="723">
        <f>G9*F9/2</f>
        <v>5.727588698000001E-2</v>
      </c>
      <c r="J9" s="724">
        <f>$G$9*$F$9</f>
        <v>0.11455177396000002</v>
      </c>
      <c r="K9" s="724">
        <f>$G$9*$F$9</f>
        <v>0.11455177396000002</v>
      </c>
      <c r="L9" s="724">
        <f t="shared" ref="L9:O9" si="5">$G$9*$F$9</f>
        <v>0.11455177396000002</v>
      </c>
      <c r="M9" s="724">
        <f t="shared" si="5"/>
        <v>0.11455177396000002</v>
      </c>
      <c r="N9" s="724">
        <f t="shared" si="5"/>
        <v>0.11455177396000002</v>
      </c>
      <c r="O9" s="724">
        <f t="shared" si="5"/>
        <v>0.11455177396000002</v>
      </c>
    </row>
    <row r="10" spans="2:16">
      <c r="B10" s="719" t="s">
        <v>214</v>
      </c>
      <c r="C10" s="719"/>
      <c r="D10" s="719"/>
      <c r="E10" s="719"/>
      <c r="F10" s="725">
        <v>7.7299999999999994E-2</v>
      </c>
      <c r="G10" s="724">
        <f>'F10'!H12</f>
        <v>1.3779631247500002</v>
      </c>
      <c r="H10" s="719"/>
      <c r="I10" s="719"/>
      <c r="J10" s="724">
        <f>G10*F10/2</f>
        <v>5.3258274771587504E-2</v>
      </c>
      <c r="K10" s="724">
        <f>$G$10*$F$10</f>
        <v>0.10651654954317501</v>
      </c>
      <c r="L10" s="724">
        <f t="shared" ref="L10:O10" si="6">$G$10*$F$10</f>
        <v>0.10651654954317501</v>
      </c>
      <c r="M10" s="724">
        <f t="shared" si="6"/>
        <v>0.10651654954317501</v>
      </c>
      <c r="N10" s="724">
        <f t="shared" si="6"/>
        <v>0.10651654954317501</v>
      </c>
      <c r="O10" s="724">
        <f t="shared" si="6"/>
        <v>0.10651654954317501</v>
      </c>
    </row>
    <row r="11" spans="2:16">
      <c r="B11" s="719" t="s">
        <v>215</v>
      </c>
      <c r="C11" s="719"/>
      <c r="D11" s="719"/>
      <c r="E11" s="719"/>
      <c r="F11" s="691">
        <f>F10</f>
        <v>7.7299999999999994E-2</v>
      </c>
      <c r="G11" s="724">
        <f>'F10'!K12</f>
        <v>1.3779624722500001</v>
      </c>
      <c r="H11" s="719"/>
      <c r="I11" s="719"/>
      <c r="J11" s="719"/>
      <c r="K11" s="724">
        <f>G11*F11/2</f>
        <v>5.32582495524625E-2</v>
      </c>
      <c r="L11" s="724">
        <f>$F$11*$G$11</f>
        <v>0.106516499104925</v>
      </c>
      <c r="M11" s="724">
        <f t="shared" ref="M11:O11" si="7">$F$11*$G$11</f>
        <v>0.106516499104925</v>
      </c>
      <c r="N11" s="724">
        <f t="shared" si="7"/>
        <v>0.106516499104925</v>
      </c>
      <c r="O11" s="724">
        <f t="shared" si="7"/>
        <v>0.106516499104925</v>
      </c>
    </row>
    <row r="12" spans="2:16">
      <c r="B12" s="719" t="s">
        <v>540</v>
      </c>
      <c r="C12" s="719"/>
      <c r="D12" s="719"/>
      <c r="E12" s="719"/>
      <c r="F12" s="691">
        <f t="shared" ref="F12:F16" si="8">F11</f>
        <v>7.7299999999999994E-2</v>
      </c>
      <c r="G12" s="724">
        <f>'F10'!M12</f>
        <v>1.37811247225</v>
      </c>
      <c r="H12" s="719"/>
      <c r="I12" s="719"/>
      <c r="J12" s="719"/>
      <c r="K12" s="719"/>
      <c r="L12" s="724">
        <f>G12*F12/2</f>
        <v>5.3264047052462495E-2</v>
      </c>
      <c r="M12" s="724">
        <f>$G$12*$F$12</f>
        <v>0.10652809410492499</v>
      </c>
      <c r="N12" s="724">
        <f t="shared" ref="N12:O12" si="9">$G$12*$F$12</f>
        <v>0.10652809410492499</v>
      </c>
      <c r="O12" s="724">
        <f t="shared" si="9"/>
        <v>0.10652809410492499</v>
      </c>
    </row>
    <row r="13" spans="2:16">
      <c r="B13" s="719" t="s">
        <v>541</v>
      </c>
      <c r="C13" s="719"/>
      <c r="D13" s="719"/>
      <c r="E13" s="719"/>
      <c r="F13" s="691">
        <f t="shared" si="8"/>
        <v>7.7299999999999994E-2</v>
      </c>
      <c r="G13" s="724">
        <f>'F10'!N12</f>
        <v>1.3850374722499998</v>
      </c>
      <c r="H13" s="719"/>
      <c r="I13" s="719"/>
      <c r="J13" s="719"/>
      <c r="K13" s="719"/>
      <c r="L13" s="719"/>
      <c r="M13" s="724">
        <f>$G$13*$F$13/2</f>
        <v>5.3531698302462488E-2</v>
      </c>
      <c r="N13" s="724">
        <f>$G$13*$F$13</f>
        <v>0.10706339660492498</v>
      </c>
      <c r="O13" s="724">
        <f>$G$13*$F$13</f>
        <v>0.10706339660492498</v>
      </c>
    </row>
    <row r="14" spans="2:16">
      <c r="B14" s="719" t="s">
        <v>542</v>
      </c>
      <c r="C14" s="719"/>
      <c r="D14" s="719"/>
      <c r="E14" s="719"/>
      <c r="F14" s="691">
        <f t="shared" si="8"/>
        <v>7.7299999999999994E-2</v>
      </c>
      <c r="G14" s="724">
        <f>'F10'!O12</f>
        <v>1.3850874722499997</v>
      </c>
      <c r="H14" s="719"/>
      <c r="I14" s="719"/>
      <c r="J14" s="719"/>
      <c r="K14" s="719"/>
      <c r="L14" s="719"/>
      <c r="M14" s="719"/>
      <c r="N14" s="724">
        <f>G14*F14/2</f>
        <v>5.3533630802462484E-2</v>
      </c>
      <c r="O14" s="724">
        <f>G14*F14</f>
        <v>0.10706726160492497</v>
      </c>
    </row>
    <row r="15" spans="2:16">
      <c r="B15" s="719" t="s">
        <v>543</v>
      </c>
      <c r="C15" s="719"/>
      <c r="D15" s="719"/>
      <c r="E15" s="719"/>
      <c r="F15" s="691">
        <f t="shared" si="8"/>
        <v>7.7299999999999994E-2</v>
      </c>
      <c r="G15" s="724">
        <f>'F10'!P12</f>
        <v>1.3851374722499998</v>
      </c>
      <c r="H15" s="719"/>
      <c r="I15" s="719"/>
      <c r="J15" s="719"/>
      <c r="K15" s="719"/>
      <c r="L15" s="719"/>
      <c r="M15" s="719"/>
      <c r="N15" s="719"/>
      <c r="O15" s="724">
        <f>G15*F15/2</f>
        <v>5.3535563302462487E-2</v>
      </c>
    </row>
    <row r="16" spans="2:16">
      <c r="B16" s="719" t="s">
        <v>544</v>
      </c>
      <c r="C16" s="719"/>
      <c r="D16" s="719"/>
      <c r="E16" s="719"/>
      <c r="F16" s="691">
        <f t="shared" si="8"/>
        <v>7.7299999999999994E-2</v>
      </c>
      <c r="G16" s="724">
        <f>'F10'!Q12</f>
        <v>1.3851874722499997</v>
      </c>
    </row>
    <row r="17" spans="2:15">
      <c r="B17" s="1244" t="s">
        <v>919</v>
      </c>
      <c r="C17" s="1245"/>
      <c r="D17" s="1245"/>
      <c r="E17" s="1245"/>
      <c r="F17" s="1246"/>
      <c r="G17" s="726">
        <f t="shared" ref="G17:N17" si="10">SUM(G4:G15)</f>
        <v>18.436124692250001</v>
      </c>
      <c r="H17" s="726">
        <f t="shared" si="10"/>
        <v>0.68292399999999986</v>
      </c>
      <c r="I17" s="726">
        <f t="shared" si="10"/>
        <v>0.7973318869799999</v>
      </c>
      <c r="J17" s="726">
        <f t="shared" si="10"/>
        <v>0.90786604873158749</v>
      </c>
      <c r="K17" s="726">
        <f t="shared" si="10"/>
        <v>1.0143825730556375</v>
      </c>
      <c r="L17" s="726">
        <f t="shared" si="10"/>
        <v>1.1209048696605626</v>
      </c>
      <c r="M17" s="726">
        <f t="shared" si="10"/>
        <v>1.2277006150154874</v>
      </c>
      <c r="N17" s="726">
        <f t="shared" si="10"/>
        <v>1.3347659441204125</v>
      </c>
      <c r="O17" s="726">
        <f>SUM(O4:O15)</f>
        <v>1.4418351382253376</v>
      </c>
    </row>
    <row r="20" spans="2:15" ht="15">
      <c r="B20" s="310"/>
      <c r="C20" s="987" t="s">
        <v>745</v>
      </c>
      <c r="D20" s="988"/>
      <c r="E20" s="988"/>
      <c r="F20" s="988"/>
      <c r="G20" s="988"/>
      <c r="H20" s="988"/>
      <c r="I20" s="989"/>
    </row>
    <row r="21" spans="2:15" ht="16">
      <c r="B21" s="310"/>
      <c r="C21" s="362" t="s">
        <v>746</v>
      </c>
      <c r="D21" s="362" t="s">
        <v>747</v>
      </c>
      <c r="E21" s="362" t="s">
        <v>748</v>
      </c>
      <c r="F21" s="362" t="s">
        <v>749</v>
      </c>
      <c r="G21" s="362" t="s">
        <v>750</v>
      </c>
      <c r="H21" s="362" t="s">
        <v>751</v>
      </c>
      <c r="I21" s="362" t="s">
        <v>753</v>
      </c>
    </row>
    <row r="22" spans="2:15" ht="15">
      <c r="B22" s="310" t="s">
        <v>755</v>
      </c>
      <c r="C22" s="591">
        <v>0.45</v>
      </c>
      <c r="D22" s="591">
        <v>1.38</v>
      </c>
      <c r="E22" s="591">
        <v>1.39</v>
      </c>
      <c r="F22" s="591">
        <v>1.39</v>
      </c>
      <c r="G22" s="591">
        <v>1.39</v>
      </c>
      <c r="H22" s="591">
        <v>1.39</v>
      </c>
      <c r="I22" s="591">
        <v>1.38</v>
      </c>
    </row>
  </sheetData>
  <mergeCells count="4">
    <mergeCell ref="H2:O2"/>
    <mergeCell ref="C20:I20"/>
    <mergeCell ref="B1:O1"/>
    <mergeCell ref="B17:F17"/>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D3:J25"/>
  <sheetViews>
    <sheetView showGridLines="0" topLeftCell="C3" workbookViewId="0">
      <selection activeCell="E71" sqref="E71"/>
    </sheetView>
  </sheetViews>
  <sheetFormatPr baseColWidth="10" defaultColWidth="9.1640625" defaultRowHeight="14"/>
  <cols>
    <col min="1" max="3" width="9.1640625" style="695"/>
    <col min="4" max="4" width="39.5" style="695" bestFit="1" customWidth="1"/>
    <col min="5" max="5" width="9.1640625" style="695"/>
    <col min="6" max="6" width="9.1640625" style="738"/>
    <col min="7" max="7" width="33.83203125" style="695" bestFit="1" customWidth="1"/>
    <col min="8" max="8" width="9.1640625" style="697" customWidth="1"/>
    <col min="9" max="9" width="9.6640625" style="695" bestFit="1" customWidth="1"/>
    <col min="10" max="16384" width="9.1640625" style="695"/>
  </cols>
  <sheetData>
    <row r="3" spans="4:10">
      <c r="G3" s="1247" t="s">
        <v>869</v>
      </c>
      <c r="H3" s="1248"/>
      <c r="I3" s="1248"/>
      <c r="J3" s="1249"/>
    </row>
    <row r="4" spans="4:10" ht="15">
      <c r="D4" s="1252" t="s">
        <v>865</v>
      </c>
      <c r="E4" s="1252"/>
      <c r="F4" s="781"/>
      <c r="G4" s="833" t="s">
        <v>827</v>
      </c>
      <c r="H4" s="1250" t="s">
        <v>751</v>
      </c>
      <c r="I4" s="1251"/>
      <c r="J4" s="1251"/>
    </row>
    <row r="5" spans="4:10" ht="16">
      <c r="D5" s="832" t="s">
        <v>876</v>
      </c>
      <c r="E5" s="832" t="s">
        <v>751</v>
      </c>
      <c r="G5" s="824"/>
      <c r="H5" s="824" t="s">
        <v>26</v>
      </c>
      <c r="I5" s="825" t="s">
        <v>161</v>
      </c>
      <c r="J5" s="824" t="s">
        <v>28</v>
      </c>
    </row>
    <row r="6" spans="4:10" ht="15">
      <c r="D6" s="699" t="s">
        <v>866</v>
      </c>
      <c r="E6" s="699">
        <v>20.22</v>
      </c>
      <c r="G6" s="748" t="s">
        <v>266</v>
      </c>
      <c r="H6" s="774">
        <v>65.25</v>
      </c>
      <c r="I6" s="749">
        <f>H6</f>
        <v>65.25</v>
      </c>
      <c r="J6" s="749">
        <f>I6</f>
        <v>65.25</v>
      </c>
    </row>
    <row r="7" spans="4:10" ht="15">
      <c r="D7" s="699" t="s">
        <v>867</v>
      </c>
      <c r="E7" s="762">
        <f>-(I15-J15)</f>
        <v>-4.3166988505747117</v>
      </c>
      <c r="G7" s="750" t="s">
        <v>829</v>
      </c>
      <c r="H7" s="775"/>
      <c r="I7" s="751"/>
      <c r="J7" s="751"/>
    </row>
    <row r="8" spans="4:10" ht="15">
      <c r="D8" s="699" t="s">
        <v>875</v>
      </c>
      <c r="E8" s="762">
        <f>J25-I25</f>
        <v>0.28398752052545273</v>
      </c>
      <c r="G8" s="750" t="s">
        <v>830</v>
      </c>
      <c r="H8" s="775"/>
      <c r="I8" s="751">
        <v>1.31</v>
      </c>
      <c r="J8" s="751">
        <v>1.31</v>
      </c>
    </row>
    <row r="9" spans="4:10" ht="15">
      <c r="D9" s="703" t="s">
        <v>877</v>
      </c>
      <c r="E9" s="779">
        <f>SUM(E6:E8)</f>
        <v>16.187288669950739</v>
      </c>
      <c r="G9" s="750" t="s">
        <v>831</v>
      </c>
      <c r="H9" s="775"/>
      <c r="I9" s="751">
        <v>2.5099999999999998</v>
      </c>
      <c r="J9" s="751">
        <v>2.5099999999999998</v>
      </c>
    </row>
    <row r="10" spans="4:10" ht="15">
      <c r="G10" s="750" t="s">
        <v>832</v>
      </c>
      <c r="H10" s="775"/>
      <c r="I10" s="751">
        <v>2.35</v>
      </c>
      <c r="J10" s="751">
        <v>2.35</v>
      </c>
    </row>
    <row r="11" spans="4:10" ht="15">
      <c r="G11" s="750" t="s">
        <v>868</v>
      </c>
      <c r="H11" s="796"/>
      <c r="I11" s="797"/>
      <c r="J11" s="797">
        <f>E6</f>
        <v>20.22</v>
      </c>
    </row>
    <row r="12" spans="4:10" ht="15">
      <c r="G12" s="748" t="s">
        <v>304</v>
      </c>
      <c r="H12" s="774">
        <f>H6-SUM(H8:H10)</f>
        <v>65.25</v>
      </c>
      <c r="I12" s="749">
        <f>I6-SUM(I8:I10)</f>
        <v>59.08</v>
      </c>
      <c r="J12" s="749">
        <f>J6-SUM(J8:J11)</f>
        <v>38.86</v>
      </c>
    </row>
    <row r="13" spans="4:10" ht="15">
      <c r="G13" s="750" t="s">
        <v>833</v>
      </c>
      <c r="H13" s="775">
        <v>13.93</v>
      </c>
      <c r="I13" s="751">
        <f>I12*I16</f>
        <v>12.612787739463601</v>
      </c>
      <c r="J13" s="751">
        <f>J12*J16</f>
        <v>8.2960888888888888</v>
      </c>
    </row>
    <row r="14" spans="4:10" ht="15">
      <c r="G14" s="750" t="s">
        <v>834</v>
      </c>
      <c r="H14" s="775"/>
      <c r="I14" s="751"/>
      <c r="J14" s="751"/>
    </row>
    <row r="15" spans="4:10" ht="15">
      <c r="G15" s="748" t="s">
        <v>835</v>
      </c>
      <c r="H15" s="774">
        <f>H13+H14</f>
        <v>13.93</v>
      </c>
      <c r="I15" s="749">
        <f>I13+I14</f>
        <v>12.612787739463601</v>
      </c>
      <c r="J15" s="749">
        <f>J13+J14</f>
        <v>8.2960888888888888</v>
      </c>
    </row>
    <row r="16" spans="4:10" ht="15">
      <c r="G16" s="748" t="s">
        <v>836</v>
      </c>
      <c r="H16" s="776">
        <f>H15/H12</f>
        <v>0.21348659003831416</v>
      </c>
      <c r="I16" s="752">
        <f>H16</f>
        <v>0.21348659003831416</v>
      </c>
      <c r="J16" s="752">
        <f>I16</f>
        <v>0.21348659003831416</v>
      </c>
    </row>
    <row r="18" spans="7:10">
      <c r="G18" s="1247" t="s">
        <v>870</v>
      </c>
      <c r="H18" s="1248"/>
      <c r="I18" s="1248"/>
      <c r="J18" s="1249"/>
    </row>
    <row r="19" spans="7:10" ht="15">
      <c r="G19" s="833" t="s">
        <v>827</v>
      </c>
      <c r="H19" s="1250" t="s">
        <v>751</v>
      </c>
      <c r="I19" s="1251"/>
      <c r="J19" s="1251"/>
    </row>
    <row r="20" spans="7:10" ht="16">
      <c r="G20" s="824"/>
      <c r="H20" s="824" t="s">
        <v>850</v>
      </c>
      <c r="I20" s="825" t="s">
        <v>161</v>
      </c>
      <c r="J20" s="824" t="s">
        <v>28</v>
      </c>
    </row>
    <row r="21" spans="7:10" ht="15">
      <c r="G21" s="750" t="s">
        <v>872</v>
      </c>
      <c r="H21" s="750" t="s">
        <v>871</v>
      </c>
      <c r="I21" s="751">
        <v>73.48</v>
      </c>
      <c r="J21" s="751">
        <f>I21+E6+E7</f>
        <v>89.383301149425293</v>
      </c>
    </row>
    <row r="22" spans="7:10" ht="15">
      <c r="G22" s="750" t="s">
        <v>873</v>
      </c>
      <c r="H22" s="750" t="s">
        <v>818</v>
      </c>
      <c r="I22" s="778">
        <v>0.98</v>
      </c>
      <c r="J22" s="778">
        <v>0.98</v>
      </c>
    </row>
    <row r="23" spans="7:10" ht="15">
      <c r="G23" s="750" t="s">
        <v>874</v>
      </c>
      <c r="H23" s="750" t="s">
        <v>818</v>
      </c>
      <c r="I23" s="778">
        <v>0.99780000000000002</v>
      </c>
      <c r="J23" s="778">
        <v>0.99780000000000002</v>
      </c>
    </row>
    <row r="24" spans="7:10" ht="15">
      <c r="G24" s="750" t="s">
        <v>840</v>
      </c>
      <c r="H24" s="750" t="s">
        <v>818</v>
      </c>
      <c r="I24" s="778">
        <v>0.99750000000000005</v>
      </c>
      <c r="J24" s="778">
        <v>0.99750000000000005</v>
      </c>
    </row>
    <row r="25" spans="7:10" ht="15">
      <c r="G25" s="750" t="s">
        <v>832</v>
      </c>
      <c r="H25" s="750" t="s">
        <v>818</v>
      </c>
      <c r="I25" s="777">
        <f>IF(I23&lt;=I24,I21*(I23-I22)/I22,I21*(I24-I22)/I22)</f>
        <v>1.3121428571428626</v>
      </c>
      <c r="J25" s="777">
        <f>IF(J23&lt;=J24,J21*(J23-J22)/J22,J21*(J24-J22)/J22)</f>
        <v>1.5961303776683153</v>
      </c>
    </row>
  </sheetData>
  <mergeCells count="5">
    <mergeCell ref="G18:J18"/>
    <mergeCell ref="H19:J19"/>
    <mergeCell ref="D4:E4"/>
    <mergeCell ref="H4:J4"/>
    <mergeCell ref="G3:J3"/>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C3:I21"/>
  <sheetViews>
    <sheetView showGridLines="0" workbookViewId="0">
      <selection activeCell="E71" sqref="E71"/>
    </sheetView>
  </sheetViews>
  <sheetFormatPr baseColWidth="10" defaultColWidth="9.1640625" defaultRowHeight="14"/>
  <cols>
    <col min="1" max="2" width="9.1640625" style="695"/>
    <col min="3" max="3" width="33.5" style="695" bestFit="1" customWidth="1"/>
    <col min="4" max="6" width="9.6640625" style="695" bestFit="1" customWidth="1"/>
    <col min="7" max="16384" width="9.1640625" style="695"/>
  </cols>
  <sheetData>
    <row r="3" spans="3:9">
      <c r="C3" s="780" t="s">
        <v>800</v>
      </c>
      <c r="D3" s="780" t="s">
        <v>213</v>
      </c>
      <c r="E3" s="780" t="s">
        <v>214</v>
      </c>
      <c r="F3" s="780" t="s">
        <v>215</v>
      </c>
    </row>
    <row r="4" spans="3:9">
      <c r="C4" s="699" t="s">
        <v>878</v>
      </c>
      <c r="D4" s="762">
        <f ca="1">'F1 '!F35</f>
        <v>106.1469130041944</v>
      </c>
      <c r="E4" s="762">
        <f ca="1">'F1 '!I35</f>
        <v>72.73742235120622</v>
      </c>
      <c r="F4" s="762">
        <f ca="1">'F1 '!N35</f>
        <v>80.568194806553862</v>
      </c>
    </row>
    <row r="5" spans="3:9">
      <c r="C5" s="699" t="s">
        <v>879</v>
      </c>
      <c r="D5" s="762">
        <f>'F11'!E14</f>
        <v>89.42</v>
      </c>
      <c r="E5" s="762">
        <f>'F11'!H14</f>
        <v>76.057695700000011</v>
      </c>
      <c r="F5" s="762">
        <f>'F11'!M14</f>
        <v>80.069999999999993</v>
      </c>
    </row>
    <row r="6" spans="3:9">
      <c r="C6" s="703" t="s">
        <v>880</v>
      </c>
      <c r="D6" s="783">
        <f ca="1">D4-D5</f>
        <v>16.726913004194401</v>
      </c>
      <c r="E6" s="783">
        <f t="shared" ref="E6:F6" ca="1" si="0">E4-E5</f>
        <v>-3.3202733487937905</v>
      </c>
      <c r="F6" s="783">
        <f t="shared" ca="1" si="0"/>
        <v>0.49819480655386883</v>
      </c>
    </row>
    <row r="12" spans="3:9">
      <c r="C12" s="780" t="s">
        <v>800</v>
      </c>
      <c r="D12" s="780" t="s">
        <v>751</v>
      </c>
      <c r="E12" s="780" t="s">
        <v>753</v>
      </c>
      <c r="F12" s="780" t="s">
        <v>213</v>
      </c>
      <c r="G12" s="780" t="s">
        <v>214</v>
      </c>
      <c r="H12" s="780" t="s">
        <v>215</v>
      </c>
      <c r="I12" s="780" t="s">
        <v>540</v>
      </c>
    </row>
    <row r="13" spans="3:9">
      <c r="C13" s="699" t="s">
        <v>883</v>
      </c>
      <c r="D13" s="767">
        <v>0</v>
      </c>
      <c r="E13" s="767">
        <f>D16</f>
        <v>16.187288669950739</v>
      </c>
      <c r="F13" s="767">
        <f>E16</f>
        <v>16.187288669950739</v>
      </c>
      <c r="G13" s="767">
        <f ca="1">F16</f>
        <v>14.990292827572532</v>
      </c>
      <c r="H13" s="767">
        <f ca="1">G16</f>
        <v>10.263455865590075</v>
      </c>
      <c r="I13" s="767">
        <f ca="1">H16</f>
        <v>10.761650672143944</v>
      </c>
    </row>
    <row r="14" spans="3:9">
      <c r="C14" s="699" t="s">
        <v>931</v>
      </c>
      <c r="D14" s="767">
        <f>DPC!E9</f>
        <v>16.187288669950739</v>
      </c>
      <c r="E14" s="767">
        <v>0</v>
      </c>
      <c r="F14" s="767">
        <f ca="1">D4-'F1 '!F21-'F1 '!F25</f>
        <v>88.223004157621801</v>
      </c>
      <c r="G14" s="767">
        <f ca="1">E4-'F1 '!I21</f>
        <v>71.330858738017554</v>
      </c>
      <c r="H14" s="767">
        <f ca="1">F4</f>
        <v>80.568194806553862</v>
      </c>
      <c r="I14" s="767">
        <f>G4</f>
        <v>0</v>
      </c>
    </row>
    <row r="15" spans="3:9">
      <c r="C15" s="699" t="s">
        <v>884</v>
      </c>
      <c r="D15" s="767">
        <v>0</v>
      </c>
      <c r="E15" s="767">
        <v>0</v>
      </c>
      <c r="F15" s="767">
        <f>D5</f>
        <v>89.42</v>
      </c>
      <c r="G15" s="767">
        <f>E5</f>
        <v>76.057695700000011</v>
      </c>
      <c r="H15" s="767">
        <f>F5</f>
        <v>80.069999999999993</v>
      </c>
      <c r="I15" s="767">
        <f ca="1">I13</f>
        <v>10.761650672143944</v>
      </c>
    </row>
    <row r="16" spans="3:9">
      <c r="C16" s="699" t="s">
        <v>885</v>
      </c>
      <c r="D16" s="767">
        <f t="shared" ref="D16:E16" si="1">D13+D14-D15</f>
        <v>16.187288669950739</v>
      </c>
      <c r="E16" s="767">
        <f t="shared" si="1"/>
        <v>16.187288669950739</v>
      </c>
      <c r="F16" s="767">
        <f ca="1">F13+F14-F15</f>
        <v>14.990292827572532</v>
      </c>
      <c r="G16" s="767">
        <f t="shared" ref="G16:H16" ca="1" si="2">G13+G14-G15</f>
        <v>10.263455865590075</v>
      </c>
      <c r="H16" s="767">
        <f t="shared" ca="1" si="2"/>
        <v>10.761650672143944</v>
      </c>
      <c r="I16" s="767">
        <f t="shared" ref="I16" ca="1" si="3">I13+I14-I15</f>
        <v>0</v>
      </c>
    </row>
    <row r="17" spans="3:9">
      <c r="C17" s="699" t="s">
        <v>886</v>
      </c>
      <c r="D17" s="767">
        <f t="shared" ref="D17:E17" si="4">AVERAGE(D16,D13)</f>
        <v>8.0936443349753695</v>
      </c>
      <c r="E17" s="767">
        <f t="shared" si="4"/>
        <v>16.187288669950739</v>
      </c>
      <c r="F17" s="767">
        <f ca="1">AVERAGE(F16,F13)</f>
        <v>15.588790748761635</v>
      </c>
      <c r="G17" s="767">
        <f t="shared" ref="G17:H17" ca="1" si="5">AVERAGE(G16,G13)</f>
        <v>12.626874346581303</v>
      </c>
      <c r="H17" s="767">
        <f t="shared" ca="1" si="5"/>
        <v>10.512553268867009</v>
      </c>
      <c r="I17" s="767">
        <f t="shared" ref="I17" ca="1" si="6">AVERAGE(I16,I13)</f>
        <v>5.3808253360719718</v>
      </c>
    </row>
    <row r="18" spans="3:9">
      <c r="C18" s="699" t="s">
        <v>881</v>
      </c>
      <c r="D18" s="701">
        <v>0.14599999999999999</v>
      </c>
      <c r="E18" s="701">
        <v>0.1079</v>
      </c>
      <c r="F18" s="784">
        <f>'F6'!F17</f>
        <v>0.10181456043956044</v>
      </c>
      <c r="G18" s="784">
        <f>'F6'!H17</f>
        <v>9.8892857142857143E-2</v>
      </c>
      <c r="H18" s="784">
        <f>'F6'!J17</f>
        <v>9.5500000000000002E-2</v>
      </c>
      <c r="I18" s="784">
        <f>'F6'!E40</f>
        <v>9.5500000000000002E-2</v>
      </c>
    </row>
    <row r="19" spans="3:9">
      <c r="C19" s="699" t="s">
        <v>882</v>
      </c>
      <c r="D19" s="767">
        <f t="shared" ref="D19:E19" si="7">D17*D18</f>
        <v>1.1816720729064039</v>
      </c>
      <c r="E19" s="767">
        <f t="shared" si="7"/>
        <v>1.7466084474876846</v>
      </c>
      <c r="F19" s="767">
        <f ca="1">F17*F18</f>
        <v>1.5871658778694522</v>
      </c>
      <c r="G19" s="767">
        <f t="shared" ref="G19:H19" ca="1" si="8">G17*G18</f>
        <v>1.2487076809172724</v>
      </c>
      <c r="H19" s="767">
        <f t="shared" ca="1" si="8"/>
        <v>1.0039488371767993</v>
      </c>
      <c r="I19" s="767">
        <f ca="1">I17*I18</f>
        <v>0.51386881959487329</v>
      </c>
    </row>
    <row r="20" spans="3:9" ht="30">
      <c r="C20" s="768" t="s">
        <v>933</v>
      </c>
      <c r="D20" s="1253">
        <f ca="1">SUM(D19:I19)</f>
        <v>7.281971735952486</v>
      </c>
      <c r="E20" s="1254"/>
      <c r="F20" s="1254"/>
      <c r="G20" s="1254"/>
      <c r="H20" s="1254"/>
      <c r="I20" s="1255"/>
    </row>
    <row r="21" spans="3:9">
      <c r="C21" s="1256" t="s">
        <v>932</v>
      </c>
      <c r="D21" s="1256"/>
      <c r="E21" s="1256"/>
      <c r="F21" s="1256"/>
      <c r="G21" s="1256"/>
      <c r="H21" s="1256"/>
      <c r="I21" s="1256"/>
    </row>
  </sheetData>
  <mergeCells count="2">
    <mergeCell ref="D20:I20"/>
    <mergeCell ref="C21:I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N65"/>
  <sheetViews>
    <sheetView showGridLines="0" view="pageBreakPreview" topLeftCell="T31" zoomScale="70" zoomScaleNormal="75" zoomScaleSheetLayoutView="70" workbookViewId="0">
      <selection activeCell="AM31" sqref="AM1:AM1048576"/>
    </sheetView>
  </sheetViews>
  <sheetFormatPr baseColWidth="10" defaultColWidth="9.1640625" defaultRowHeight="15"/>
  <cols>
    <col min="1" max="1" width="5.5" style="465" customWidth="1"/>
    <col min="2" max="2" width="8.6640625" style="465" customWidth="1"/>
    <col min="3" max="3" width="45.5" style="953" customWidth="1"/>
    <col min="4" max="4" width="14.83203125" style="465" bestFit="1" customWidth="1"/>
    <col min="5" max="8" width="11.1640625" style="465" customWidth="1"/>
    <col min="9" max="9" width="14.83203125" style="465" bestFit="1" customWidth="1"/>
    <col min="10" max="13" width="11.1640625" style="465" customWidth="1"/>
    <col min="14" max="14" width="14.83203125" style="465" bestFit="1" customWidth="1"/>
    <col min="15" max="38" width="11.1640625" style="465" customWidth="1"/>
    <col min="39" max="39" width="11.1640625" style="465" hidden="1" customWidth="1"/>
    <col min="40" max="40" width="16.5" style="465" customWidth="1"/>
    <col min="41" max="16384" width="9.1640625" style="465"/>
  </cols>
  <sheetData>
    <row r="1" spans="2:40">
      <c r="B1" s="464"/>
    </row>
    <row r="2" spans="2:40">
      <c r="B2" s="466"/>
      <c r="C2" s="954"/>
      <c r="D2" s="466"/>
      <c r="E2" s="466"/>
      <c r="F2" s="466"/>
      <c r="G2" s="466"/>
      <c r="H2" s="466"/>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row>
    <row r="3" spans="2:40">
      <c r="B3" s="1041" t="str">
        <f>Index!$B$2</f>
        <v>Jaigad Power Transco Ltd</v>
      </c>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2"/>
      <c r="AI3" s="1042"/>
      <c r="AJ3" s="1042"/>
      <c r="AK3" s="1042"/>
      <c r="AL3" s="1042"/>
      <c r="AM3" s="1042"/>
      <c r="AN3" s="468"/>
    </row>
    <row r="4" spans="2:40">
      <c r="B4" s="1043" t="s">
        <v>186</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467"/>
    </row>
    <row r="5" spans="2:40" ht="31.5" customHeight="1">
      <c r="B5" s="1051" t="s">
        <v>326</v>
      </c>
      <c r="C5" s="10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c r="AK5" s="951"/>
      <c r="AL5" s="951"/>
      <c r="AM5" s="951"/>
    </row>
    <row r="6" spans="2:40">
      <c r="B6" s="297"/>
      <c r="C6" s="952"/>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row>
    <row r="7" spans="2:40">
      <c r="B7" s="469"/>
      <c r="C7" s="955"/>
      <c r="D7" s="470"/>
      <c r="E7" s="470"/>
      <c r="F7" s="470"/>
      <c r="G7" s="470"/>
      <c r="H7" s="470"/>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row>
    <row r="8" spans="2:40">
      <c r="B8" s="1034" t="s">
        <v>226</v>
      </c>
      <c r="C8" s="1044" t="s">
        <v>4</v>
      </c>
      <c r="D8" s="1048" t="s">
        <v>213</v>
      </c>
      <c r="E8" s="1049"/>
      <c r="F8" s="1049"/>
      <c r="G8" s="1049"/>
      <c r="H8" s="1050"/>
      <c r="I8" s="1048" t="s">
        <v>214</v>
      </c>
      <c r="J8" s="1049"/>
      <c r="K8" s="1049"/>
      <c r="L8" s="1049"/>
      <c r="M8" s="1050"/>
      <c r="N8" s="1048" t="s">
        <v>215</v>
      </c>
      <c r="O8" s="1049"/>
      <c r="P8" s="1049"/>
      <c r="Q8" s="1049"/>
      <c r="R8" s="1050"/>
      <c r="S8" s="1047" t="s">
        <v>86</v>
      </c>
      <c r="T8" s="1047"/>
      <c r="U8" s="1047"/>
      <c r="V8" s="1047"/>
      <c r="W8" s="1047" t="s">
        <v>86</v>
      </c>
      <c r="X8" s="1047"/>
      <c r="Y8" s="1047"/>
      <c r="Z8" s="1047"/>
      <c r="AA8" s="1047" t="s">
        <v>86</v>
      </c>
      <c r="AB8" s="1047"/>
      <c r="AC8" s="1047"/>
      <c r="AD8" s="1047"/>
      <c r="AE8" s="1047" t="s">
        <v>86</v>
      </c>
      <c r="AF8" s="1047"/>
      <c r="AG8" s="1047"/>
      <c r="AH8" s="1047"/>
      <c r="AI8" s="1047" t="s">
        <v>86</v>
      </c>
      <c r="AJ8" s="1047"/>
      <c r="AK8" s="1047"/>
      <c r="AL8" s="1047"/>
      <c r="AM8" s="1045" t="s">
        <v>37</v>
      </c>
      <c r="AN8" s="469"/>
    </row>
    <row r="9" spans="2:40" s="472" customFormat="1">
      <c r="B9" s="1034"/>
      <c r="C9" s="1044"/>
      <c r="D9" s="471" t="s">
        <v>313</v>
      </c>
      <c r="E9" s="1034" t="s">
        <v>26</v>
      </c>
      <c r="F9" s="1034"/>
      <c r="G9" s="1034"/>
      <c r="H9" s="1034"/>
      <c r="I9" s="471" t="s">
        <v>313</v>
      </c>
      <c r="J9" s="1034" t="s">
        <v>26</v>
      </c>
      <c r="K9" s="1034"/>
      <c r="L9" s="1034"/>
      <c r="M9" s="1034"/>
      <c r="N9" s="471" t="s">
        <v>313</v>
      </c>
      <c r="O9" s="1034" t="s">
        <v>59</v>
      </c>
      <c r="P9" s="1034"/>
      <c r="Q9" s="1034"/>
      <c r="R9" s="1034"/>
      <c r="S9" s="1046" t="s">
        <v>540</v>
      </c>
      <c r="T9" s="1046"/>
      <c r="U9" s="1046"/>
      <c r="V9" s="1046"/>
      <c r="W9" s="1046" t="s">
        <v>541</v>
      </c>
      <c r="X9" s="1046"/>
      <c r="Y9" s="1046"/>
      <c r="Z9" s="1046"/>
      <c r="AA9" s="1046" t="s">
        <v>542</v>
      </c>
      <c r="AB9" s="1046"/>
      <c r="AC9" s="1046"/>
      <c r="AD9" s="1046"/>
      <c r="AE9" s="1046" t="s">
        <v>543</v>
      </c>
      <c r="AF9" s="1046"/>
      <c r="AG9" s="1046"/>
      <c r="AH9" s="1046"/>
      <c r="AI9" s="1046" t="s">
        <v>544</v>
      </c>
      <c r="AJ9" s="1046"/>
      <c r="AK9" s="1046"/>
      <c r="AL9" s="1046"/>
      <c r="AM9" s="1045"/>
      <c r="AN9" s="1052"/>
    </row>
    <row r="10" spans="2:40" s="472" customFormat="1">
      <c r="B10" s="1034"/>
      <c r="C10" s="1044"/>
      <c r="D10" s="473" t="s">
        <v>170</v>
      </c>
      <c r="E10" s="473" t="s">
        <v>167</v>
      </c>
      <c r="F10" s="473" t="s">
        <v>229</v>
      </c>
      <c r="G10" s="473" t="s">
        <v>168</v>
      </c>
      <c r="H10" s="473" t="s">
        <v>170</v>
      </c>
      <c r="I10" s="473" t="s">
        <v>170</v>
      </c>
      <c r="J10" s="473" t="s">
        <v>167</v>
      </c>
      <c r="K10" s="473" t="s">
        <v>229</v>
      </c>
      <c r="L10" s="473" t="s">
        <v>168</v>
      </c>
      <c r="M10" s="473" t="s">
        <v>170</v>
      </c>
      <c r="N10" s="473" t="s">
        <v>170</v>
      </c>
      <c r="O10" s="473" t="s">
        <v>167</v>
      </c>
      <c r="P10" s="473" t="s">
        <v>229</v>
      </c>
      <c r="Q10" s="473" t="s">
        <v>168</v>
      </c>
      <c r="R10" s="473" t="s">
        <v>170</v>
      </c>
      <c r="S10" s="473" t="s">
        <v>167</v>
      </c>
      <c r="T10" s="473" t="s">
        <v>229</v>
      </c>
      <c r="U10" s="473" t="s">
        <v>168</v>
      </c>
      <c r="V10" s="473" t="s">
        <v>170</v>
      </c>
      <c r="W10" s="473" t="s">
        <v>167</v>
      </c>
      <c r="X10" s="473" t="s">
        <v>229</v>
      </c>
      <c r="Y10" s="473" t="s">
        <v>168</v>
      </c>
      <c r="Z10" s="473" t="s">
        <v>170</v>
      </c>
      <c r="AA10" s="473" t="s">
        <v>167</v>
      </c>
      <c r="AB10" s="473" t="s">
        <v>229</v>
      </c>
      <c r="AC10" s="473" t="s">
        <v>168</v>
      </c>
      <c r="AD10" s="473" t="s">
        <v>170</v>
      </c>
      <c r="AE10" s="473" t="s">
        <v>167</v>
      </c>
      <c r="AF10" s="473" t="s">
        <v>229</v>
      </c>
      <c r="AG10" s="473" t="s">
        <v>168</v>
      </c>
      <c r="AH10" s="473" t="s">
        <v>170</v>
      </c>
      <c r="AI10" s="473" t="s">
        <v>167</v>
      </c>
      <c r="AJ10" s="473" t="s">
        <v>229</v>
      </c>
      <c r="AK10" s="473" t="s">
        <v>168</v>
      </c>
      <c r="AL10" s="473" t="s">
        <v>170</v>
      </c>
      <c r="AM10" s="1045"/>
      <c r="AN10" s="1052"/>
    </row>
    <row r="11" spans="2:40" s="478" customFormat="1">
      <c r="B11" s="474"/>
      <c r="C11" s="956"/>
      <c r="D11" s="474"/>
      <c r="E11" s="474"/>
      <c r="F11" s="474"/>
      <c r="G11" s="474"/>
      <c r="H11" s="474"/>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6"/>
      <c r="AN11" s="477"/>
    </row>
    <row r="12" spans="2:40" s="484" customFormat="1" ht="16">
      <c r="B12" s="479">
        <v>1</v>
      </c>
      <c r="C12" s="516" t="s">
        <v>230</v>
      </c>
      <c r="D12" s="480"/>
      <c r="E12" s="480"/>
      <c r="F12" s="480"/>
      <c r="G12" s="480"/>
      <c r="H12" s="480"/>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2"/>
      <c r="AN12" s="483"/>
    </row>
    <row r="13" spans="2:40" s="484" customFormat="1">
      <c r="B13" s="479"/>
      <c r="C13" s="516"/>
      <c r="D13" s="480"/>
      <c r="E13" s="480"/>
      <c r="F13" s="480"/>
      <c r="G13" s="480"/>
      <c r="H13" s="480"/>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3"/>
    </row>
    <row r="14" spans="2:40" ht="16">
      <c r="B14" s="485" t="s">
        <v>46</v>
      </c>
      <c r="C14" s="486" t="s">
        <v>169</v>
      </c>
      <c r="D14" s="486"/>
      <c r="E14" s="486"/>
      <c r="F14" s="486"/>
      <c r="G14" s="486"/>
      <c r="H14" s="486"/>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3"/>
    </row>
    <row r="15" spans="2:40" ht="16">
      <c r="B15" s="487"/>
      <c r="C15" s="488" t="s">
        <v>100</v>
      </c>
      <c r="D15" s="488"/>
      <c r="E15" s="488"/>
      <c r="F15" s="488"/>
      <c r="G15" s="488"/>
      <c r="H15" s="488"/>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3"/>
    </row>
    <row r="16" spans="2:40" ht="16">
      <c r="B16" s="487"/>
      <c r="C16" s="488" t="s">
        <v>231</v>
      </c>
      <c r="D16" s="488"/>
      <c r="E16" s="488"/>
      <c r="F16" s="488"/>
      <c r="G16" s="488"/>
      <c r="H16" s="488"/>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3"/>
    </row>
    <row r="17" spans="2:40" ht="16">
      <c r="B17" s="487"/>
      <c r="C17" s="488" t="s">
        <v>232</v>
      </c>
      <c r="D17" s="487">
        <v>330</v>
      </c>
      <c r="E17" s="487">
        <v>330</v>
      </c>
      <c r="F17" s="487"/>
      <c r="G17" s="487">
        <f>E17+F17</f>
        <v>330</v>
      </c>
      <c r="H17" s="487">
        <f>AVERAGE(E17,G17)</f>
        <v>330</v>
      </c>
      <c r="I17" s="626">
        <v>330</v>
      </c>
      <c r="J17" s="626">
        <f>G17</f>
        <v>330</v>
      </c>
      <c r="K17" s="626"/>
      <c r="L17" s="487">
        <f>J17+K17</f>
        <v>330</v>
      </c>
      <c r="M17" s="487">
        <f>AVERAGE(J17,L17)</f>
        <v>330</v>
      </c>
      <c r="N17" s="626">
        <v>330</v>
      </c>
      <c r="O17" s="626">
        <f>L17</f>
        <v>330</v>
      </c>
      <c r="P17" s="626"/>
      <c r="Q17" s="487">
        <f>O17+P17</f>
        <v>330</v>
      </c>
      <c r="R17" s="487">
        <f>AVERAGE(O17,Q17)</f>
        <v>330</v>
      </c>
      <c r="S17" s="626">
        <f>Q17</f>
        <v>330</v>
      </c>
      <c r="T17" s="626"/>
      <c r="U17" s="487">
        <f>S17+T17</f>
        <v>330</v>
      </c>
      <c r="V17" s="487">
        <f>AVERAGE(S17,U17)</f>
        <v>330</v>
      </c>
      <c r="W17" s="626">
        <f>U17</f>
        <v>330</v>
      </c>
      <c r="X17" s="626"/>
      <c r="Y17" s="487">
        <f>W17+X17</f>
        <v>330</v>
      </c>
      <c r="Z17" s="487">
        <f>AVERAGE(W17,Y17)</f>
        <v>330</v>
      </c>
      <c r="AA17" s="626">
        <f>Y17</f>
        <v>330</v>
      </c>
      <c r="AB17" s="626"/>
      <c r="AC17" s="487">
        <f>AA17+AB17</f>
        <v>330</v>
      </c>
      <c r="AD17" s="487">
        <f>AVERAGE(AA17,AC17)</f>
        <v>330</v>
      </c>
      <c r="AE17" s="626">
        <f>AC17</f>
        <v>330</v>
      </c>
      <c r="AF17" s="626"/>
      <c r="AG17" s="487">
        <f>AE17+AF17</f>
        <v>330</v>
      </c>
      <c r="AH17" s="487">
        <f>AVERAGE(AE17,AG17)</f>
        <v>330</v>
      </c>
      <c r="AI17" s="626">
        <f>AG17</f>
        <v>330</v>
      </c>
      <c r="AJ17" s="626"/>
      <c r="AK17" s="487">
        <f>AI17+AJ17</f>
        <v>330</v>
      </c>
      <c r="AL17" s="487">
        <f>AVERAGE(AI17,AK17)</f>
        <v>330</v>
      </c>
      <c r="AM17" s="481"/>
      <c r="AN17" s="483"/>
    </row>
    <row r="18" spans="2:40" ht="16">
      <c r="B18" s="487"/>
      <c r="C18" s="488" t="s">
        <v>328</v>
      </c>
      <c r="D18" s="488"/>
      <c r="E18" s="488"/>
      <c r="F18" s="488"/>
      <c r="G18" s="488"/>
      <c r="H18" s="488"/>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3"/>
    </row>
    <row r="19" spans="2:40" ht="16">
      <c r="B19" s="487"/>
      <c r="C19" s="488" t="s">
        <v>329</v>
      </c>
      <c r="D19" s="488"/>
      <c r="E19" s="488"/>
      <c r="F19" s="488"/>
      <c r="G19" s="488"/>
      <c r="H19" s="488"/>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3"/>
    </row>
    <row r="20" spans="2:40">
      <c r="B20" s="487"/>
      <c r="C20" s="489"/>
      <c r="D20" s="490"/>
      <c r="E20" s="1035"/>
      <c r="F20" s="1036"/>
      <c r="G20" s="1036"/>
      <c r="H20" s="1037"/>
      <c r="I20" s="491"/>
      <c r="J20" s="1019"/>
      <c r="K20" s="1020"/>
      <c r="L20" s="1020"/>
      <c r="M20" s="1021"/>
      <c r="N20" s="491"/>
      <c r="O20" s="1019"/>
      <c r="P20" s="1020"/>
      <c r="Q20" s="1020"/>
      <c r="R20" s="1021"/>
      <c r="S20" s="1019"/>
      <c r="T20" s="1020"/>
      <c r="U20" s="1020"/>
      <c r="V20" s="1021"/>
      <c r="W20" s="1019"/>
      <c r="X20" s="1020"/>
      <c r="Y20" s="1020"/>
      <c r="Z20" s="1021"/>
      <c r="AA20" s="492"/>
      <c r="AB20" s="492"/>
      <c r="AC20" s="492"/>
      <c r="AD20" s="492"/>
      <c r="AE20" s="1019"/>
      <c r="AF20" s="1020"/>
      <c r="AG20" s="1020"/>
      <c r="AH20" s="1021"/>
      <c r="AI20" s="1019"/>
      <c r="AJ20" s="1020"/>
      <c r="AK20" s="1020"/>
      <c r="AL20" s="1021"/>
      <c r="AM20" s="481"/>
      <c r="AN20" s="483"/>
    </row>
    <row r="21" spans="2:40" ht="32">
      <c r="B21" s="485" t="s">
        <v>47</v>
      </c>
      <c r="C21" s="493" t="s">
        <v>325</v>
      </c>
      <c r="D21" s="494"/>
      <c r="E21" s="1038"/>
      <c r="F21" s="1039"/>
      <c r="G21" s="1039"/>
      <c r="H21" s="1040"/>
      <c r="I21" s="491"/>
      <c r="J21" s="1019"/>
      <c r="K21" s="1020"/>
      <c r="L21" s="1020"/>
      <c r="M21" s="1021"/>
      <c r="N21" s="491"/>
      <c r="O21" s="1019"/>
      <c r="P21" s="1020"/>
      <c r="Q21" s="1020"/>
      <c r="R21" s="1021"/>
      <c r="S21" s="1019"/>
      <c r="T21" s="1020"/>
      <c r="U21" s="1020"/>
      <c r="V21" s="1021"/>
      <c r="W21" s="1019"/>
      <c r="X21" s="1020"/>
      <c r="Y21" s="1020"/>
      <c r="Z21" s="1021"/>
      <c r="AA21" s="492"/>
      <c r="AB21" s="492"/>
      <c r="AC21" s="492"/>
      <c r="AD21" s="492"/>
      <c r="AE21" s="1019"/>
      <c r="AF21" s="1020"/>
      <c r="AG21" s="1020"/>
      <c r="AH21" s="1021"/>
      <c r="AI21" s="1019"/>
      <c r="AJ21" s="1020"/>
      <c r="AK21" s="1020"/>
      <c r="AL21" s="1021"/>
      <c r="AM21" s="481"/>
      <c r="AN21" s="483"/>
    </row>
    <row r="22" spans="2:40" ht="16">
      <c r="B22" s="487"/>
      <c r="C22" s="488" t="s">
        <v>618</v>
      </c>
      <c r="D22" s="495"/>
      <c r="E22" s="1025"/>
      <c r="F22" s="1026"/>
      <c r="G22" s="1026"/>
      <c r="H22" s="1027"/>
      <c r="I22" s="491"/>
      <c r="J22" s="1019"/>
      <c r="K22" s="1020"/>
      <c r="L22" s="1020"/>
      <c r="M22" s="1021"/>
      <c r="N22" s="491"/>
      <c r="O22" s="1019"/>
      <c r="P22" s="1020"/>
      <c r="Q22" s="1020"/>
      <c r="R22" s="1021"/>
      <c r="S22" s="1019"/>
      <c r="T22" s="1020"/>
      <c r="U22" s="1020"/>
      <c r="V22" s="1021"/>
      <c r="W22" s="1019"/>
      <c r="X22" s="1020"/>
      <c r="Y22" s="1020"/>
      <c r="Z22" s="1021"/>
      <c r="AA22" s="492"/>
      <c r="AB22" s="492"/>
      <c r="AC22" s="492"/>
      <c r="AD22" s="492"/>
      <c r="AE22" s="1019"/>
      <c r="AF22" s="1020"/>
      <c r="AG22" s="1020"/>
      <c r="AH22" s="1021"/>
      <c r="AI22" s="1019"/>
      <c r="AJ22" s="1020"/>
      <c r="AK22" s="1020"/>
      <c r="AL22" s="1021"/>
      <c r="AM22" s="481"/>
      <c r="AN22" s="483"/>
    </row>
    <row r="23" spans="2:40" ht="16">
      <c r="B23" s="487"/>
      <c r="C23" s="488" t="s">
        <v>231</v>
      </c>
      <c r="D23" s="495"/>
      <c r="E23" s="1025"/>
      <c r="F23" s="1026"/>
      <c r="G23" s="1026"/>
      <c r="H23" s="1027"/>
      <c r="I23" s="491"/>
      <c r="J23" s="1019"/>
      <c r="K23" s="1020"/>
      <c r="L23" s="1020"/>
      <c r="M23" s="1021"/>
      <c r="N23" s="491"/>
      <c r="O23" s="1019"/>
      <c r="P23" s="1020"/>
      <c r="Q23" s="1020"/>
      <c r="R23" s="1021"/>
      <c r="S23" s="1019"/>
      <c r="T23" s="1020"/>
      <c r="U23" s="1020"/>
      <c r="V23" s="1021"/>
      <c r="W23" s="1019"/>
      <c r="X23" s="1020"/>
      <c r="Y23" s="1020"/>
      <c r="Z23" s="1021"/>
      <c r="AA23" s="492"/>
      <c r="AB23" s="492"/>
      <c r="AC23" s="492"/>
      <c r="AD23" s="492"/>
      <c r="AE23" s="1019"/>
      <c r="AF23" s="1020"/>
      <c r="AG23" s="1020"/>
      <c r="AH23" s="1021"/>
      <c r="AI23" s="1019"/>
      <c r="AJ23" s="1020"/>
      <c r="AK23" s="1020"/>
      <c r="AL23" s="1021"/>
      <c r="AM23" s="481"/>
      <c r="AN23" s="483"/>
    </row>
    <row r="24" spans="2:40" ht="16">
      <c r="B24" s="487"/>
      <c r="C24" s="488" t="s">
        <v>232</v>
      </c>
      <c r="D24" s="495">
        <v>0.44</v>
      </c>
      <c r="E24" s="1025">
        <v>0.44</v>
      </c>
      <c r="F24" s="1026"/>
      <c r="G24" s="1026"/>
      <c r="H24" s="1027"/>
      <c r="I24" s="491">
        <v>0.46</v>
      </c>
      <c r="J24" s="1019">
        <v>0.46</v>
      </c>
      <c r="K24" s="1020"/>
      <c r="L24" s="1020"/>
      <c r="M24" s="1021"/>
      <c r="N24" s="491">
        <v>0.48</v>
      </c>
      <c r="O24" s="1019">
        <v>0.48</v>
      </c>
      <c r="P24" s="1020"/>
      <c r="Q24" s="1020"/>
      <c r="R24" s="1021"/>
      <c r="S24" s="1053">
        <v>0.44</v>
      </c>
      <c r="T24" s="1054"/>
      <c r="U24" s="1054"/>
      <c r="V24" s="1055"/>
      <c r="W24" s="1053">
        <v>0.45</v>
      </c>
      <c r="X24" s="1054"/>
      <c r="Y24" s="1054"/>
      <c r="Z24" s="1055"/>
      <c r="AA24" s="1053">
        <v>0.47</v>
      </c>
      <c r="AB24" s="1054"/>
      <c r="AC24" s="1054"/>
      <c r="AD24" s="1055"/>
      <c r="AE24" s="1053">
        <v>0.49</v>
      </c>
      <c r="AF24" s="1054"/>
      <c r="AG24" s="1054"/>
      <c r="AH24" s="1055"/>
      <c r="AI24" s="1053">
        <v>0.51</v>
      </c>
      <c r="AJ24" s="1054"/>
      <c r="AK24" s="1054"/>
      <c r="AL24" s="1055"/>
      <c r="AM24" s="481"/>
      <c r="AN24" s="483"/>
    </row>
    <row r="25" spans="2:40" ht="16">
      <c r="B25" s="487"/>
      <c r="C25" s="488" t="s">
        <v>328</v>
      </c>
      <c r="D25" s="495"/>
      <c r="E25" s="1025"/>
      <c r="F25" s="1026"/>
      <c r="G25" s="1026"/>
      <c r="H25" s="1027"/>
      <c r="I25" s="491"/>
      <c r="J25" s="1019"/>
      <c r="K25" s="1020"/>
      <c r="L25" s="1020"/>
      <c r="M25" s="1021"/>
      <c r="N25" s="491"/>
      <c r="O25" s="1019"/>
      <c r="P25" s="1020"/>
      <c r="Q25" s="1020"/>
      <c r="R25" s="1021"/>
      <c r="S25" s="1019"/>
      <c r="T25" s="1020"/>
      <c r="U25" s="1020"/>
      <c r="V25" s="1021"/>
      <c r="W25" s="1019"/>
      <c r="X25" s="1020"/>
      <c r="Y25" s="1020"/>
      <c r="Z25" s="1021"/>
      <c r="AA25" s="492"/>
      <c r="AB25" s="492"/>
      <c r="AC25" s="492"/>
      <c r="AD25" s="492"/>
      <c r="AE25" s="1019"/>
      <c r="AF25" s="1020"/>
      <c r="AG25" s="1020"/>
      <c r="AH25" s="1021"/>
      <c r="AI25" s="1019"/>
      <c r="AJ25" s="1020"/>
      <c r="AK25" s="1020"/>
      <c r="AL25" s="1021"/>
      <c r="AM25" s="481"/>
      <c r="AN25" s="483"/>
    </row>
    <row r="26" spans="2:40" s="498" customFormat="1" ht="16">
      <c r="B26" s="487"/>
      <c r="C26" s="488" t="s">
        <v>329</v>
      </c>
      <c r="D26" s="495"/>
      <c r="E26" s="1025"/>
      <c r="F26" s="1026"/>
      <c r="G26" s="1026"/>
      <c r="H26" s="1027"/>
      <c r="I26" s="496"/>
      <c r="J26" s="1022"/>
      <c r="K26" s="1023"/>
      <c r="L26" s="1023"/>
      <c r="M26" s="1024"/>
      <c r="N26" s="496"/>
      <c r="O26" s="1022"/>
      <c r="P26" s="1023"/>
      <c r="Q26" s="1023"/>
      <c r="R26" s="1024"/>
      <c r="S26" s="1022"/>
      <c r="T26" s="1023"/>
      <c r="U26" s="1023"/>
      <c r="V26" s="1024"/>
      <c r="W26" s="1022"/>
      <c r="X26" s="1023"/>
      <c r="Y26" s="1023"/>
      <c r="Z26" s="1024"/>
      <c r="AA26" s="497"/>
      <c r="AB26" s="497"/>
      <c r="AC26" s="497"/>
      <c r="AD26" s="497"/>
      <c r="AE26" s="1022"/>
      <c r="AF26" s="1023"/>
      <c r="AG26" s="1023"/>
      <c r="AH26" s="1024"/>
      <c r="AI26" s="1022"/>
      <c r="AJ26" s="1023"/>
      <c r="AK26" s="1023"/>
      <c r="AL26" s="1024"/>
      <c r="AM26" s="481"/>
      <c r="AN26" s="483"/>
    </row>
    <row r="27" spans="2:40" s="498" customFormat="1">
      <c r="B27" s="487"/>
      <c r="C27" s="489"/>
      <c r="D27" s="495"/>
      <c r="E27" s="1025"/>
      <c r="F27" s="1026"/>
      <c r="G27" s="1026"/>
      <c r="H27" s="1027"/>
      <c r="I27" s="496"/>
      <c r="J27" s="1022"/>
      <c r="K27" s="1023"/>
      <c r="L27" s="1023"/>
      <c r="M27" s="1024"/>
      <c r="N27" s="496"/>
      <c r="O27" s="1022"/>
      <c r="P27" s="1023"/>
      <c r="Q27" s="1023"/>
      <c r="R27" s="1024"/>
      <c r="S27" s="1022"/>
      <c r="T27" s="1023"/>
      <c r="U27" s="1023"/>
      <c r="V27" s="1024"/>
      <c r="W27" s="1022"/>
      <c r="X27" s="1023"/>
      <c r="Y27" s="1023"/>
      <c r="Z27" s="1024"/>
      <c r="AA27" s="497"/>
      <c r="AB27" s="497"/>
      <c r="AC27" s="497"/>
      <c r="AD27" s="497"/>
      <c r="AE27" s="1022"/>
      <c r="AF27" s="1023"/>
      <c r="AG27" s="1023"/>
      <c r="AH27" s="1024"/>
      <c r="AI27" s="1022"/>
      <c r="AJ27" s="1023"/>
      <c r="AK27" s="1023"/>
      <c r="AL27" s="1024"/>
      <c r="AM27" s="481"/>
      <c r="AN27" s="483"/>
    </row>
    <row r="28" spans="2:40" ht="16">
      <c r="B28" s="485" t="s">
        <v>92</v>
      </c>
      <c r="C28" s="486" t="s">
        <v>327</v>
      </c>
      <c r="D28" s="495"/>
      <c r="E28" s="1025"/>
      <c r="F28" s="1026"/>
      <c r="G28" s="1026"/>
      <c r="H28" s="1027"/>
      <c r="I28" s="491"/>
      <c r="J28" s="1019"/>
      <c r="K28" s="1020"/>
      <c r="L28" s="1020"/>
      <c r="M28" s="1021"/>
      <c r="N28" s="491"/>
      <c r="O28" s="1019"/>
      <c r="P28" s="1020"/>
      <c r="Q28" s="1020"/>
      <c r="R28" s="1021"/>
      <c r="S28" s="1019"/>
      <c r="T28" s="1020"/>
      <c r="U28" s="1020"/>
      <c r="V28" s="1021"/>
      <c r="W28" s="1019"/>
      <c r="X28" s="1020"/>
      <c r="Y28" s="1020"/>
      <c r="Z28" s="1021"/>
      <c r="AA28" s="492"/>
      <c r="AB28" s="492"/>
      <c r="AC28" s="492"/>
      <c r="AD28" s="492"/>
      <c r="AE28" s="1019"/>
      <c r="AF28" s="1020"/>
      <c r="AG28" s="1020"/>
      <c r="AH28" s="1021"/>
      <c r="AI28" s="1019"/>
      <c r="AJ28" s="1020"/>
      <c r="AK28" s="1020"/>
      <c r="AL28" s="1021"/>
      <c r="AM28" s="499"/>
      <c r="AN28" s="469"/>
    </row>
    <row r="29" spans="2:40" ht="16">
      <c r="B29" s="487"/>
      <c r="C29" s="488" t="s">
        <v>100</v>
      </c>
      <c r="D29" s="495"/>
      <c r="E29" s="1025"/>
      <c r="F29" s="1026"/>
      <c r="G29" s="1026"/>
      <c r="H29" s="1027"/>
      <c r="I29" s="491"/>
      <c r="J29" s="1019"/>
      <c r="K29" s="1020"/>
      <c r="L29" s="1020"/>
      <c r="M29" s="1021"/>
      <c r="N29" s="491"/>
      <c r="O29" s="1019"/>
      <c r="P29" s="1020"/>
      <c r="Q29" s="1020"/>
      <c r="R29" s="1021"/>
      <c r="S29" s="1019"/>
      <c r="T29" s="1020"/>
      <c r="U29" s="1020"/>
      <c r="V29" s="1021"/>
      <c r="W29" s="1019"/>
      <c r="X29" s="1020"/>
      <c r="Y29" s="1020"/>
      <c r="Z29" s="1021"/>
      <c r="AA29" s="492"/>
      <c r="AB29" s="492"/>
      <c r="AC29" s="492"/>
      <c r="AD29" s="492"/>
      <c r="AE29" s="1019"/>
      <c r="AF29" s="1020"/>
      <c r="AG29" s="1020"/>
      <c r="AH29" s="1021"/>
      <c r="AI29" s="1019"/>
      <c r="AJ29" s="1020"/>
      <c r="AK29" s="1020"/>
      <c r="AL29" s="1021"/>
      <c r="AM29" s="500"/>
      <c r="AN29" s="469"/>
    </row>
    <row r="30" spans="2:40" ht="16">
      <c r="B30" s="487"/>
      <c r="C30" s="488" t="s">
        <v>231</v>
      </c>
      <c r="D30" s="495"/>
      <c r="E30" s="1025"/>
      <c r="F30" s="1026"/>
      <c r="G30" s="1026"/>
      <c r="H30" s="1027"/>
      <c r="I30" s="491"/>
      <c r="J30" s="1019"/>
      <c r="K30" s="1020"/>
      <c r="L30" s="1020"/>
      <c r="M30" s="1021"/>
      <c r="N30" s="491"/>
      <c r="O30" s="1019"/>
      <c r="P30" s="1020"/>
      <c r="Q30" s="1020"/>
      <c r="R30" s="1021"/>
      <c r="S30" s="1019"/>
      <c r="T30" s="1020"/>
      <c r="U30" s="1020"/>
      <c r="V30" s="1021"/>
      <c r="W30" s="1019"/>
      <c r="X30" s="1020"/>
      <c r="Y30" s="1020"/>
      <c r="Z30" s="1021"/>
      <c r="AA30" s="492"/>
      <c r="AB30" s="492"/>
      <c r="AC30" s="492"/>
      <c r="AD30" s="492"/>
      <c r="AE30" s="1019"/>
      <c r="AF30" s="1020"/>
      <c r="AG30" s="1020"/>
      <c r="AH30" s="1021"/>
      <c r="AI30" s="1019"/>
      <c r="AJ30" s="1020"/>
      <c r="AK30" s="1020"/>
      <c r="AL30" s="1021"/>
      <c r="AM30" s="501"/>
      <c r="AN30" s="469"/>
    </row>
    <row r="31" spans="2:40" ht="16">
      <c r="B31" s="487"/>
      <c r="C31" s="488" t="s">
        <v>232</v>
      </c>
      <c r="D31" s="502">
        <f>D17*D24/100</f>
        <v>1.452</v>
      </c>
      <c r="E31" s="1031">
        <f>H17*E24/100</f>
        <v>1.452</v>
      </c>
      <c r="F31" s="1032"/>
      <c r="G31" s="1032"/>
      <c r="H31" s="1033"/>
      <c r="I31" s="502">
        <f>I17*I24/100</f>
        <v>1.518</v>
      </c>
      <c r="J31" s="1031">
        <f>M17*J24/100</f>
        <v>1.518</v>
      </c>
      <c r="K31" s="1032"/>
      <c r="L31" s="1032"/>
      <c r="M31" s="1033"/>
      <c r="N31" s="502">
        <f>N17*N24/100</f>
        <v>1.5840000000000001</v>
      </c>
      <c r="O31" s="1031">
        <f>R17*O24/100</f>
        <v>1.5840000000000001</v>
      </c>
      <c r="P31" s="1032"/>
      <c r="Q31" s="1032"/>
      <c r="R31" s="1033"/>
      <c r="S31" s="1031">
        <f>V17*S24/100</f>
        <v>1.452</v>
      </c>
      <c r="T31" s="1032"/>
      <c r="U31" s="1032"/>
      <c r="V31" s="1033"/>
      <c r="W31" s="1031">
        <f>Z17*W24/100</f>
        <v>1.4850000000000001</v>
      </c>
      <c r="X31" s="1032"/>
      <c r="Y31" s="1032"/>
      <c r="Z31" s="1033"/>
      <c r="AA31" s="1031">
        <f>AD17*AA24/100</f>
        <v>1.5509999999999999</v>
      </c>
      <c r="AB31" s="1032"/>
      <c r="AC31" s="1032"/>
      <c r="AD31" s="1033"/>
      <c r="AE31" s="1031">
        <f>AH17*AE24/100</f>
        <v>1.617</v>
      </c>
      <c r="AF31" s="1032"/>
      <c r="AG31" s="1032"/>
      <c r="AH31" s="1033"/>
      <c r="AI31" s="1031">
        <f>AL17*AI24/100</f>
        <v>1.6830000000000001</v>
      </c>
      <c r="AJ31" s="1032"/>
      <c r="AK31" s="1032"/>
      <c r="AL31" s="1033"/>
      <c r="AM31" s="501"/>
      <c r="AN31" s="469"/>
    </row>
    <row r="32" spans="2:40" ht="16">
      <c r="B32" s="487"/>
      <c r="C32" s="488" t="s">
        <v>328</v>
      </c>
      <c r="D32" s="495"/>
      <c r="E32" s="1025"/>
      <c r="F32" s="1026"/>
      <c r="G32" s="1026"/>
      <c r="H32" s="1027"/>
      <c r="I32" s="496"/>
      <c r="J32" s="1022"/>
      <c r="K32" s="1023"/>
      <c r="L32" s="1023"/>
      <c r="M32" s="1024"/>
      <c r="N32" s="496"/>
      <c r="O32" s="1022"/>
      <c r="P32" s="1023"/>
      <c r="Q32" s="1023"/>
      <c r="R32" s="1024"/>
      <c r="S32" s="1022"/>
      <c r="T32" s="1023"/>
      <c r="U32" s="1023"/>
      <c r="V32" s="1024"/>
      <c r="W32" s="1022"/>
      <c r="X32" s="1023"/>
      <c r="Y32" s="1023"/>
      <c r="Z32" s="1024"/>
      <c r="AA32" s="497"/>
      <c r="AB32" s="497"/>
      <c r="AC32" s="497"/>
      <c r="AD32" s="497"/>
      <c r="AE32" s="1022"/>
      <c r="AF32" s="1023"/>
      <c r="AG32" s="1023"/>
      <c r="AH32" s="1024"/>
      <c r="AI32" s="1022"/>
      <c r="AJ32" s="1023"/>
      <c r="AK32" s="1023"/>
      <c r="AL32" s="1024"/>
      <c r="AM32" s="503"/>
      <c r="AN32" s="1052"/>
    </row>
    <row r="33" spans="2:40" ht="16">
      <c r="B33" s="487"/>
      <c r="C33" s="488" t="s">
        <v>329</v>
      </c>
      <c r="D33" s="495"/>
      <c r="E33" s="1025"/>
      <c r="F33" s="1026"/>
      <c r="G33" s="1026"/>
      <c r="H33" s="1027"/>
      <c r="I33" s="496"/>
      <c r="J33" s="1022"/>
      <c r="K33" s="1023"/>
      <c r="L33" s="1023"/>
      <c r="M33" s="1024"/>
      <c r="N33" s="496"/>
      <c r="O33" s="1022"/>
      <c r="P33" s="1023"/>
      <c r="Q33" s="1023"/>
      <c r="R33" s="1024"/>
      <c r="S33" s="1022"/>
      <c r="T33" s="1023"/>
      <c r="U33" s="1023"/>
      <c r="V33" s="1024"/>
      <c r="W33" s="1022"/>
      <c r="X33" s="1023"/>
      <c r="Y33" s="1023"/>
      <c r="Z33" s="1024"/>
      <c r="AA33" s="497"/>
      <c r="AB33" s="497"/>
      <c r="AC33" s="497"/>
      <c r="AD33" s="497"/>
      <c r="AE33" s="1022"/>
      <c r="AF33" s="1023"/>
      <c r="AG33" s="1023"/>
      <c r="AH33" s="1024"/>
      <c r="AI33" s="1022"/>
      <c r="AJ33" s="1023"/>
      <c r="AK33" s="1023"/>
      <c r="AL33" s="1024"/>
      <c r="AM33" s="504"/>
      <c r="AN33" s="1052"/>
    </row>
    <row r="34" spans="2:40" ht="16">
      <c r="B34" s="505" t="s">
        <v>55</v>
      </c>
      <c r="C34" s="506" t="s">
        <v>89</v>
      </c>
      <c r="D34" s="507">
        <f>SUM(D29:D33)</f>
        <v>1.452</v>
      </c>
      <c r="E34" s="1028">
        <f>SUM(E30:H33)</f>
        <v>1.452</v>
      </c>
      <c r="F34" s="1029"/>
      <c r="G34" s="1029"/>
      <c r="H34" s="1030"/>
      <c r="I34" s="507">
        <f>SUM(I29:I33)</f>
        <v>1.518</v>
      </c>
      <c r="J34" s="1028">
        <f>SUM(J30:M33)</f>
        <v>1.518</v>
      </c>
      <c r="K34" s="1029"/>
      <c r="L34" s="1029"/>
      <c r="M34" s="1030"/>
      <c r="N34" s="507">
        <f>SUM(N29:N33)</f>
        <v>1.5840000000000001</v>
      </c>
      <c r="O34" s="1028">
        <f>SUM(O30:R33)</f>
        <v>1.5840000000000001</v>
      </c>
      <c r="P34" s="1029"/>
      <c r="Q34" s="1029"/>
      <c r="R34" s="1030"/>
      <c r="S34" s="1028">
        <f>SUM(S30:V33)</f>
        <v>1.452</v>
      </c>
      <c r="T34" s="1029"/>
      <c r="U34" s="1029"/>
      <c r="V34" s="1030"/>
      <c r="W34" s="1028">
        <f>SUM(W30:Z33)</f>
        <v>1.4850000000000001</v>
      </c>
      <c r="X34" s="1029"/>
      <c r="Y34" s="1029"/>
      <c r="Z34" s="1030"/>
      <c r="AA34" s="1028">
        <f>SUM(AA30:AD33)</f>
        <v>1.5509999999999999</v>
      </c>
      <c r="AB34" s="1029"/>
      <c r="AC34" s="1029"/>
      <c r="AD34" s="1030"/>
      <c r="AE34" s="1028">
        <f>SUM(AE30:AH33)</f>
        <v>1.617</v>
      </c>
      <c r="AF34" s="1029"/>
      <c r="AG34" s="1029"/>
      <c r="AH34" s="1030"/>
      <c r="AI34" s="1028">
        <f>SUM(AI30:AL33)</f>
        <v>1.6830000000000001</v>
      </c>
      <c r="AJ34" s="1029"/>
      <c r="AK34" s="1029"/>
      <c r="AL34" s="1030"/>
      <c r="AM34" s="508"/>
      <c r="AN34" s="483"/>
    </row>
    <row r="35" spans="2:40">
      <c r="B35" s="509"/>
      <c r="C35" s="493"/>
      <c r="D35" s="473" t="s">
        <v>170</v>
      </c>
      <c r="E35" s="473" t="s">
        <v>167</v>
      </c>
      <c r="F35" s="473" t="s">
        <v>229</v>
      </c>
      <c r="G35" s="473" t="s">
        <v>168</v>
      </c>
      <c r="H35" s="473" t="s">
        <v>170</v>
      </c>
      <c r="I35" s="473" t="s">
        <v>170</v>
      </c>
      <c r="J35" s="473" t="s">
        <v>167</v>
      </c>
      <c r="K35" s="473" t="s">
        <v>229</v>
      </c>
      <c r="L35" s="473" t="s">
        <v>168</v>
      </c>
      <c r="M35" s="473" t="s">
        <v>170</v>
      </c>
      <c r="N35" s="473" t="s">
        <v>170</v>
      </c>
      <c r="O35" s="473" t="s">
        <v>167</v>
      </c>
      <c r="P35" s="473" t="s">
        <v>229</v>
      </c>
      <c r="Q35" s="473" t="s">
        <v>168</v>
      </c>
      <c r="R35" s="473" t="s">
        <v>170</v>
      </c>
      <c r="S35" s="473" t="s">
        <v>167</v>
      </c>
      <c r="T35" s="473" t="s">
        <v>229</v>
      </c>
      <c r="U35" s="473" t="s">
        <v>168</v>
      </c>
      <c r="V35" s="473" t="s">
        <v>170</v>
      </c>
      <c r="W35" s="473" t="s">
        <v>167</v>
      </c>
      <c r="X35" s="473" t="s">
        <v>229</v>
      </c>
      <c r="Y35" s="473" t="s">
        <v>168</v>
      </c>
      <c r="Z35" s="473" t="s">
        <v>170</v>
      </c>
      <c r="AA35" s="473" t="s">
        <v>167</v>
      </c>
      <c r="AB35" s="473" t="s">
        <v>229</v>
      </c>
      <c r="AC35" s="473" t="s">
        <v>168</v>
      </c>
      <c r="AD35" s="473" t="s">
        <v>170</v>
      </c>
      <c r="AE35" s="473" t="s">
        <v>167</v>
      </c>
      <c r="AF35" s="473" t="s">
        <v>229</v>
      </c>
      <c r="AG35" s="473" t="s">
        <v>168</v>
      </c>
      <c r="AH35" s="473" t="s">
        <v>170</v>
      </c>
      <c r="AI35" s="473" t="s">
        <v>167</v>
      </c>
      <c r="AJ35" s="473" t="s">
        <v>229</v>
      </c>
      <c r="AK35" s="473" t="s">
        <v>168</v>
      </c>
      <c r="AL35" s="473" t="s">
        <v>170</v>
      </c>
      <c r="AM35" s="510"/>
      <c r="AN35" s="483"/>
    </row>
    <row r="36" spans="2:40" ht="16">
      <c r="B36" s="479">
        <v>2</v>
      </c>
      <c r="C36" s="516" t="s">
        <v>499</v>
      </c>
      <c r="D36" s="480"/>
      <c r="E36" s="480"/>
      <c r="F36" s="480"/>
      <c r="G36" s="480"/>
      <c r="H36" s="480"/>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2"/>
    </row>
    <row r="37" spans="2:40">
      <c r="B37" s="479"/>
      <c r="C37" s="516"/>
      <c r="D37" s="480"/>
      <c r="E37" s="480"/>
      <c r="F37" s="480"/>
      <c r="G37" s="480"/>
      <c r="H37" s="480"/>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2"/>
    </row>
    <row r="38" spans="2:40" ht="16">
      <c r="B38" s="479" t="s">
        <v>171</v>
      </c>
      <c r="C38" s="486" t="s">
        <v>173</v>
      </c>
      <c r="D38" s="486"/>
      <c r="E38" s="486"/>
      <c r="F38" s="486"/>
      <c r="G38" s="486"/>
      <c r="H38" s="486"/>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513"/>
    </row>
    <row r="39" spans="2:40" ht="16">
      <c r="B39" s="514"/>
      <c r="C39" s="488" t="s">
        <v>231</v>
      </c>
      <c r="D39" s="487">
        <v>4</v>
      </c>
      <c r="E39" s="487">
        <f>D39</f>
        <v>4</v>
      </c>
      <c r="F39" s="487">
        <v>0</v>
      </c>
      <c r="G39" s="487">
        <f>E39+F39</f>
        <v>4</v>
      </c>
      <c r="H39" s="487">
        <f>AVERAGE(E39,G39)</f>
        <v>4</v>
      </c>
      <c r="I39" s="487">
        <v>4</v>
      </c>
      <c r="J39" s="626">
        <f>G39</f>
        <v>4</v>
      </c>
      <c r="K39" s="626"/>
      <c r="L39" s="487">
        <f>J39+K39</f>
        <v>4</v>
      </c>
      <c r="M39" s="487">
        <f>AVERAGE(J39,L39)</f>
        <v>4</v>
      </c>
      <c r="N39" s="626">
        <v>4</v>
      </c>
      <c r="O39" s="626">
        <f>L39</f>
        <v>4</v>
      </c>
      <c r="P39" s="626"/>
      <c r="Q39" s="487">
        <f>O39+P39</f>
        <v>4</v>
      </c>
      <c r="R39" s="487">
        <f>AVERAGE(O39,Q39)</f>
        <v>4</v>
      </c>
      <c r="S39" s="626">
        <f>Q39</f>
        <v>4</v>
      </c>
      <c r="T39" s="626"/>
      <c r="U39" s="487">
        <f>S39+T39</f>
        <v>4</v>
      </c>
      <c r="V39" s="487">
        <f>AVERAGE(S39,U39)</f>
        <v>4</v>
      </c>
      <c r="W39" s="626">
        <f>U39</f>
        <v>4</v>
      </c>
      <c r="X39" s="626"/>
      <c r="Y39" s="487">
        <f>W39+X39</f>
        <v>4</v>
      </c>
      <c r="Z39" s="487">
        <f>AVERAGE(W39,Y39)</f>
        <v>4</v>
      </c>
      <c r="AA39" s="626">
        <f>Y39</f>
        <v>4</v>
      </c>
      <c r="AB39" s="626"/>
      <c r="AC39" s="487">
        <f>AA39+AB39</f>
        <v>4</v>
      </c>
      <c r="AD39" s="487">
        <f>AVERAGE(AA39,AC39)</f>
        <v>4</v>
      </c>
      <c r="AE39" s="626">
        <f>AC39</f>
        <v>4</v>
      </c>
      <c r="AF39" s="626"/>
      <c r="AG39" s="487">
        <f>AE39+AF39</f>
        <v>4</v>
      </c>
      <c r="AH39" s="487">
        <f>AVERAGE(AE39,AG39)</f>
        <v>4</v>
      </c>
      <c r="AI39" s="626">
        <f>AG39</f>
        <v>4</v>
      </c>
      <c r="AJ39" s="626"/>
      <c r="AK39" s="487">
        <f>AI39+AJ39</f>
        <v>4</v>
      </c>
      <c r="AL39" s="487">
        <f>AVERAGE(AI39,AK39)</f>
        <v>4</v>
      </c>
      <c r="AM39" s="481"/>
      <c r="AN39" s="483"/>
    </row>
    <row r="40" spans="2:40" ht="16">
      <c r="B40" s="514"/>
      <c r="C40" s="488" t="s">
        <v>232</v>
      </c>
      <c r="D40" s="487"/>
      <c r="E40" s="488"/>
      <c r="F40" s="488"/>
      <c r="G40" s="488"/>
      <c r="H40" s="488"/>
      <c r="I40" s="487"/>
      <c r="J40" s="499"/>
      <c r="K40" s="499"/>
      <c r="L40" s="499"/>
      <c r="M40" s="499"/>
      <c r="N40" s="487"/>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513"/>
    </row>
    <row r="41" spans="2:40" ht="16">
      <c r="B41" s="514"/>
      <c r="C41" s="488" t="s">
        <v>328</v>
      </c>
      <c r="D41" s="488"/>
      <c r="E41" s="488"/>
      <c r="F41" s="488"/>
      <c r="G41" s="488"/>
      <c r="H41" s="488"/>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513"/>
    </row>
    <row r="42" spans="2:40" ht="16">
      <c r="B42" s="514"/>
      <c r="C42" s="488" t="s">
        <v>329</v>
      </c>
      <c r="D42" s="488"/>
      <c r="E42" s="488"/>
      <c r="F42" s="488"/>
      <c r="G42" s="488"/>
      <c r="H42" s="488"/>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513"/>
    </row>
    <row r="43" spans="2:40">
      <c r="B43" s="514"/>
      <c r="C43" s="489"/>
      <c r="D43" s="491"/>
      <c r="E43" s="1019"/>
      <c r="F43" s="1020"/>
      <c r="G43" s="1020"/>
      <c r="H43" s="1021"/>
      <c r="I43" s="491"/>
      <c r="J43" s="1009"/>
      <c r="K43" s="1009"/>
      <c r="L43" s="1009"/>
      <c r="M43" s="1009"/>
      <c r="N43" s="491"/>
      <c r="O43" s="1009"/>
      <c r="P43" s="1009"/>
      <c r="Q43" s="1009"/>
      <c r="R43" s="1009"/>
      <c r="S43" s="1009"/>
      <c r="T43" s="1009"/>
      <c r="U43" s="1009"/>
      <c r="V43" s="1009"/>
      <c r="W43" s="1009"/>
      <c r="X43" s="1009"/>
      <c r="Y43" s="1009"/>
      <c r="Z43" s="1009"/>
      <c r="AA43" s="515"/>
      <c r="AB43" s="515"/>
      <c r="AC43" s="515"/>
      <c r="AD43" s="515"/>
      <c r="AE43" s="1009"/>
      <c r="AF43" s="1009"/>
      <c r="AG43" s="1009"/>
      <c r="AH43" s="1009"/>
      <c r="AI43" s="1009"/>
      <c r="AJ43" s="1009"/>
      <c r="AK43" s="1009"/>
      <c r="AL43" s="1009"/>
      <c r="AM43" s="513"/>
    </row>
    <row r="44" spans="2:40" ht="16">
      <c r="B44" s="479" t="s">
        <v>83</v>
      </c>
      <c r="C44" s="516" t="s">
        <v>324</v>
      </c>
      <c r="D44" s="491"/>
      <c r="E44" s="1019"/>
      <c r="F44" s="1020"/>
      <c r="G44" s="1020"/>
      <c r="H44" s="1021"/>
      <c r="I44" s="491"/>
      <c r="J44" s="1009"/>
      <c r="K44" s="1009"/>
      <c r="L44" s="1009"/>
      <c r="M44" s="1009"/>
      <c r="N44" s="491"/>
      <c r="O44" s="1009"/>
      <c r="P44" s="1009"/>
      <c r="Q44" s="1009"/>
      <c r="R44" s="1009"/>
      <c r="S44" s="1009"/>
      <c r="T44" s="1009"/>
      <c r="U44" s="1009"/>
      <c r="V44" s="1009"/>
      <c r="W44" s="1009"/>
      <c r="X44" s="1009"/>
      <c r="Y44" s="1009"/>
      <c r="Z44" s="1009"/>
      <c r="AA44" s="515"/>
      <c r="AB44" s="515"/>
      <c r="AC44" s="515"/>
      <c r="AD44" s="515"/>
      <c r="AE44" s="1009"/>
      <c r="AF44" s="1009"/>
      <c r="AG44" s="1009"/>
      <c r="AH44" s="1009"/>
      <c r="AI44" s="1009"/>
      <c r="AJ44" s="1009"/>
      <c r="AK44" s="1009"/>
      <c r="AL44" s="1009"/>
      <c r="AM44" s="513"/>
    </row>
    <row r="45" spans="2:40" ht="16">
      <c r="B45" s="514"/>
      <c r="C45" s="488" t="s">
        <v>231</v>
      </c>
      <c r="D45" s="491"/>
      <c r="E45" s="1019"/>
      <c r="F45" s="1020"/>
      <c r="G45" s="1020"/>
      <c r="H45" s="1021"/>
      <c r="I45" s="491"/>
      <c r="J45" s="1009"/>
      <c r="K45" s="1009"/>
      <c r="L45" s="1009"/>
      <c r="M45" s="1009"/>
      <c r="N45" s="491"/>
      <c r="O45" s="1009"/>
      <c r="P45" s="1009"/>
      <c r="Q45" s="1009"/>
      <c r="R45" s="1009"/>
      <c r="S45" s="1009"/>
      <c r="T45" s="1009"/>
      <c r="U45" s="1009"/>
      <c r="V45" s="1009"/>
      <c r="W45" s="1009"/>
      <c r="X45" s="1009"/>
      <c r="Y45" s="1009"/>
      <c r="Z45" s="1009"/>
      <c r="AA45" s="515"/>
      <c r="AB45" s="515"/>
      <c r="AC45" s="515"/>
      <c r="AD45" s="515"/>
      <c r="AE45" s="1009"/>
      <c r="AF45" s="1009"/>
      <c r="AG45" s="1009"/>
      <c r="AH45" s="1009"/>
      <c r="AI45" s="1009"/>
      <c r="AJ45" s="1009"/>
      <c r="AK45" s="1009"/>
      <c r="AL45" s="1009"/>
      <c r="AM45" s="513"/>
    </row>
    <row r="46" spans="2:40" ht="16">
      <c r="B46" s="514"/>
      <c r="C46" s="488" t="s">
        <v>232</v>
      </c>
      <c r="D46" s="491">
        <v>77.84</v>
      </c>
      <c r="E46" s="1019">
        <f>D46</f>
        <v>77.84</v>
      </c>
      <c r="F46" s="1020"/>
      <c r="G46" s="1020"/>
      <c r="H46" s="1021"/>
      <c r="I46" s="491">
        <v>81.73</v>
      </c>
      <c r="J46" s="1009">
        <f>I46</f>
        <v>81.73</v>
      </c>
      <c r="K46" s="1009"/>
      <c r="L46" s="1009"/>
      <c r="M46" s="1009"/>
      <c r="N46" s="491">
        <v>85.82</v>
      </c>
      <c r="O46" s="1009">
        <f>N46</f>
        <v>85.82</v>
      </c>
      <c r="P46" s="1009"/>
      <c r="Q46" s="1009"/>
      <c r="R46" s="1009"/>
      <c r="S46" s="1056">
        <v>77.040000000000006</v>
      </c>
      <c r="T46" s="1056"/>
      <c r="U46" s="1056"/>
      <c r="V46" s="1056"/>
      <c r="W46" s="1056">
        <v>80.010000000000005</v>
      </c>
      <c r="X46" s="1056"/>
      <c r="Y46" s="1056"/>
      <c r="Z46" s="1056"/>
      <c r="AA46" s="1056">
        <v>83.09</v>
      </c>
      <c r="AB46" s="1056"/>
      <c r="AC46" s="1056"/>
      <c r="AD46" s="1056"/>
      <c r="AE46" s="1056">
        <v>86.29</v>
      </c>
      <c r="AF46" s="1056"/>
      <c r="AG46" s="1056"/>
      <c r="AH46" s="1056"/>
      <c r="AI46" s="1056">
        <v>89.61</v>
      </c>
      <c r="AJ46" s="1056"/>
      <c r="AK46" s="1056"/>
      <c r="AL46" s="1056"/>
      <c r="AM46" s="513"/>
    </row>
    <row r="47" spans="2:40" ht="16">
      <c r="B47" s="514"/>
      <c r="C47" s="488" t="s">
        <v>328</v>
      </c>
      <c r="D47" s="491"/>
      <c r="E47" s="1019"/>
      <c r="F47" s="1020"/>
      <c r="G47" s="1020"/>
      <c r="H47" s="1021"/>
      <c r="I47" s="491"/>
      <c r="J47" s="1009"/>
      <c r="K47" s="1009"/>
      <c r="L47" s="1009"/>
      <c r="M47" s="1009"/>
      <c r="N47" s="491"/>
      <c r="O47" s="1009"/>
      <c r="P47" s="1009"/>
      <c r="Q47" s="1009"/>
      <c r="R47" s="1009"/>
      <c r="S47" s="1009"/>
      <c r="T47" s="1009"/>
      <c r="U47" s="1009"/>
      <c r="V47" s="1009"/>
      <c r="W47" s="1009"/>
      <c r="X47" s="1009"/>
      <c r="Y47" s="1009"/>
      <c r="Z47" s="1009"/>
      <c r="AA47" s="515"/>
      <c r="AB47" s="515"/>
      <c r="AC47" s="515"/>
      <c r="AD47" s="515"/>
      <c r="AE47" s="1009"/>
      <c r="AF47" s="1009"/>
      <c r="AG47" s="1009"/>
      <c r="AH47" s="1009"/>
      <c r="AI47" s="1009"/>
      <c r="AJ47" s="1009"/>
      <c r="AK47" s="1009"/>
      <c r="AL47" s="1009"/>
      <c r="AM47" s="513"/>
    </row>
    <row r="48" spans="2:40" ht="16">
      <c r="B48" s="514"/>
      <c r="C48" s="488" t="s">
        <v>329</v>
      </c>
      <c r="D48" s="491"/>
      <c r="E48" s="1019"/>
      <c r="F48" s="1020"/>
      <c r="G48" s="1020"/>
      <c r="H48" s="1021"/>
      <c r="I48" s="491"/>
      <c r="J48" s="1009"/>
      <c r="K48" s="1009"/>
      <c r="L48" s="1009"/>
      <c r="M48" s="1009"/>
      <c r="N48" s="491"/>
      <c r="O48" s="1009"/>
      <c r="P48" s="1009"/>
      <c r="Q48" s="1009"/>
      <c r="R48" s="1009"/>
      <c r="S48" s="1009"/>
      <c r="T48" s="1009"/>
      <c r="U48" s="1009"/>
      <c r="V48" s="1009"/>
      <c r="W48" s="1009"/>
      <c r="X48" s="1009"/>
      <c r="Y48" s="1009"/>
      <c r="Z48" s="1009"/>
      <c r="AA48" s="515"/>
      <c r="AB48" s="515"/>
      <c r="AC48" s="515"/>
      <c r="AD48" s="515"/>
      <c r="AE48" s="1009"/>
      <c r="AF48" s="1009"/>
      <c r="AG48" s="1009"/>
      <c r="AH48" s="1009"/>
      <c r="AI48" s="1009"/>
      <c r="AJ48" s="1009"/>
      <c r="AK48" s="1009"/>
      <c r="AL48" s="1009"/>
      <c r="AM48" s="513"/>
    </row>
    <row r="49" spans="2:39">
      <c r="B49" s="514"/>
      <c r="C49" s="489"/>
      <c r="D49" s="491"/>
      <c r="E49" s="1019"/>
      <c r="F49" s="1020"/>
      <c r="G49" s="1020"/>
      <c r="H49" s="1021"/>
      <c r="I49" s="491"/>
      <c r="J49" s="1009"/>
      <c r="K49" s="1009"/>
      <c r="L49" s="1009"/>
      <c r="M49" s="1009"/>
      <c r="N49" s="491"/>
      <c r="O49" s="1009"/>
      <c r="P49" s="1009"/>
      <c r="Q49" s="1009"/>
      <c r="R49" s="1009"/>
      <c r="S49" s="1009"/>
      <c r="T49" s="1009"/>
      <c r="U49" s="1009"/>
      <c r="V49" s="1009"/>
      <c r="W49" s="1009"/>
      <c r="X49" s="1009"/>
      <c r="Y49" s="1009"/>
      <c r="Z49" s="1009"/>
      <c r="AA49" s="515"/>
      <c r="AB49" s="515"/>
      <c r="AC49" s="515"/>
      <c r="AD49" s="515"/>
      <c r="AE49" s="1009"/>
      <c r="AF49" s="1009"/>
      <c r="AG49" s="1009"/>
      <c r="AH49" s="1009"/>
      <c r="AI49" s="1009"/>
      <c r="AJ49" s="1009"/>
      <c r="AK49" s="1009"/>
      <c r="AL49" s="1009"/>
      <c r="AM49" s="513"/>
    </row>
    <row r="50" spans="2:39" ht="16">
      <c r="B50" s="479" t="s">
        <v>88</v>
      </c>
      <c r="C50" s="486" t="s">
        <v>172</v>
      </c>
      <c r="D50" s="491"/>
      <c r="E50" s="1019"/>
      <c r="F50" s="1020"/>
      <c r="G50" s="1020"/>
      <c r="H50" s="1021"/>
      <c r="I50" s="491"/>
      <c r="J50" s="1009"/>
      <c r="K50" s="1009"/>
      <c r="L50" s="1009"/>
      <c r="M50" s="1009"/>
      <c r="N50" s="491"/>
      <c r="O50" s="1009"/>
      <c r="P50" s="1009"/>
      <c r="Q50" s="1009"/>
      <c r="R50" s="1009"/>
      <c r="S50" s="1009"/>
      <c r="T50" s="1009"/>
      <c r="U50" s="1009"/>
      <c r="V50" s="1009"/>
      <c r="W50" s="1009"/>
      <c r="X50" s="1009"/>
      <c r="Y50" s="1009"/>
      <c r="Z50" s="1009"/>
      <c r="AA50" s="515"/>
      <c r="AB50" s="515"/>
      <c r="AC50" s="515"/>
      <c r="AD50" s="515"/>
      <c r="AE50" s="1009"/>
      <c r="AF50" s="1009"/>
      <c r="AG50" s="1009"/>
      <c r="AH50" s="1009"/>
      <c r="AI50" s="1009"/>
      <c r="AJ50" s="1009"/>
      <c r="AK50" s="1009"/>
      <c r="AL50" s="1009"/>
      <c r="AM50" s="513"/>
    </row>
    <row r="51" spans="2:39" ht="16">
      <c r="B51" s="514"/>
      <c r="C51" s="488" t="s">
        <v>231</v>
      </c>
      <c r="D51" s="491"/>
      <c r="E51" s="1019"/>
      <c r="F51" s="1020"/>
      <c r="G51" s="1020"/>
      <c r="H51" s="1021"/>
      <c r="I51" s="491"/>
      <c r="J51" s="1009"/>
      <c r="K51" s="1009"/>
      <c r="L51" s="1009"/>
      <c r="M51" s="1009"/>
      <c r="N51" s="491"/>
      <c r="O51" s="1009"/>
      <c r="P51" s="1009"/>
      <c r="Q51" s="1009"/>
      <c r="R51" s="1009"/>
      <c r="S51" s="1009"/>
      <c r="T51" s="1009"/>
      <c r="U51" s="1009"/>
      <c r="V51" s="1009"/>
      <c r="W51" s="1009"/>
      <c r="X51" s="1009"/>
      <c r="Y51" s="1009"/>
      <c r="Z51" s="1009"/>
      <c r="AA51" s="515"/>
      <c r="AB51" s="515"/>
      <c r="AC51" s="515"/>
      <c r="AD51" s="515"/>
      <c r="AE51" s="1009"/>
      <c r="AF51" s="1009"/>
      <c r="AG51" s="1009"/>
      <c r="AH51" s="1009"/>
      <c r="AI51" s="1009"/>
      <c r="AJ51" s="1009"/>
      <c r="AK51" s="1009"/>
      <c r="AL51" s="1009"/>
      <c r="AM51" s="513"/>
    </row>
    <row r="52" spans="2:39" ht="16">
      <c r="B52" s="514"/>
      <c r="C52" s="488" t="s">
        <v>232</v>
      </c>
      <c r="D52" s="517">
        <f>D39*D46/100</f>
        <v>3.1135999999999999</v>
      </c>
      <c r="E52" s="1016">
        <f>H39*E46/100</f>
        <v>3.1135999999999999</v>
      </c>
      <c r="F52" s="1017"/>
      <c r="G52" s="1017"/>
      <c r="H52" s="1018"/>
      <c r="I52" s="517">
        <f>I39*I46/100</f>
        <v>3.2692000000000001</v>
      </c>
      <c r="J52" s="1016">
        <f>M39*J46/100</f>
        <v>3.2692000000000001</v>
      </c>
      <c r="K52" s="1017"/>
      <c r="L52" s="1017"/>
      <c r="M52" s="1018"/>
      <c r="N52" s="517">
        <f>N39*N46/100</f>
        <v>3.4327999999999999</v>
      </c>
      <c r="O52" s="1016">
        <f>R39*O46/100</f>
        <v>3.4327999999999999</v>
      </c>
      <c r="P52" s="1017"/>
      <c r="Q52" s="1017"/>
      <c r="R52" s="1018"/>
      <c r="S52" s="1016">
        <f>V39*S46/100</f>
        <v>3.0816000000000003</v>
      </c>
      <c r="T52" s="1017"/>
      <c r="U52" s="1017"/>
      <c r="V52" s="1018"/>
      <c r="W52" s="1016">
        <f>Z39*W46/100</f>
        <v>3.2004000000000001</v>
      </c>
      <c r="X52" s="1017"/>
      <c r="Y52" s="1017"/>
      <c r="Z52" s="1018"/>
      <c r="AA52" s="1016">
        <f>AD39*AA46/100</f>
        <v>3.3236000000000003</v>
      </c>
      <c r="AB52" s="1017"/>
      <c r="AC52" s="1017"/>
      <c r="AD52" s="1018"/>
      <c r="AE52" s="1016">
        <f>AH39*AE46/100</f>
        <v>3.4516000000000004</v>
      </c>
      <c r="AF52" s="1017"/>
      <c r="AG52" s="1017"/>
      <c r="AH52" s="1018"/>
      <c r="AI52" s="1016">
        <f>AL39*AI46/100</f>
        <v>3.5844</v>
      </c>
      <c r="AJ52" s="1017"/>
      <c r="AK52" s="1017"/>
      <c r="AL52" s="1018"/>
      <c r="AM52" s="513"/>
    </row>
    <row r="53" spans="2:39" ht="16">
      <c r="B53" s="514"/>
      <c r="C53" s="488" t="s">
        <v>328</v>
      </c>
      <c r="D53" s="491"/>
      <c r="E53" s="1019"/>
      <c r="F53" s="1020"/>
      <c r="G53" s="1020"/>
      <c r="H53" s="1021"/>
      <c r="I53" s="491"/>
      <c r="J53" s="1019"/>
      <c r="K53" s="1020"/>
      <c r="L53" s="1020"/>
      <c r="M53" s="1021"/>
      <c r="N53" s="491"/>
      <c r="O53" s="1019"/>
      <c r="P53" s="1020"/>
      <c r="Q53" s="1020"/>
      <c r="R53" s="1021"/>
      <c r="S53" s="1019"/>
      <c r="T53" s="1020"/>
      <c r="U53" s="1020"/>
      <c r="V53" s="1021"/>
      <c r="W53" s="1019"/>
      <c r="X53" s="1020"/>
      <c r="Y53" s="1020"/>
      <c r="Z53" s="1021"/>
      <c r="AA53" s="1019"/>
      <c r="AB53" s="1020"/>
      <c r="AC53" s="1020"/>
      <c r="AD53" s="1021"/>
      <c r="AE53" s="1019"/>
      <c r="AF53" s="1020"/>
      <c r="AG53" s="1020"/>
      <c r="AH53" s="1021"/>
      <c r="AI53" s="1019"/>
      <c r="AJ53" s="1020"/>
      <c r="AK53" s="1020"/>
      <c r="AL53" s="1021"/>
      <c r="AM53" s="513"/>
    </row>
    <row r="54" spans="2:39" ht="16">
      <c r="B54" s="514"/>
      <c r="C54" s="488" t="s">
        <v>329</v>
      </c>
      <c r="D54" s="491"/>
      <c r="E54" s="1019"/>
      <c r="F54" s="1020"/>
      <c r="G54" s="1020"/>
      <c r="H54" s="1021"/>
      <c r="I54" s="491"/>
      <c r="J54" s="1019"/>
      <c r="K54" s="1020"/>
      <c r="L54" s="1020"/>
      <c r="M54" s="1021"/>
      <c r="N54" s="491"/>
      <c r="O54" s="1019"/>
      <c r="P54" s="1020"/>
      <c r="Q54" s="1020"/>
      <c r="R54" s="1021"/>
      <c r="S54" s="1019"/>
      <c r="T54" s="1020"/>
      <c r="U54" s="1020"/>
      <c r="V54" s="1021"/>
      <c r="W54" s="1019"/>
      <c r="X54" s="1020"/>
      <c r="Y54" s="1020"/>
      <c r="Z54" s="1021"/>
      <c r="AA54" s="1019"/>
      <c r="AB54" s="1020"/>
      <c r="AC54" s="1020"/>
      <c r="AD54" s="1021"/>
      <c r="AE54" s="1019"/>
      <c r="AF54" s="1020"/>
      <c r="AG54" s="1020"/>
      <c r="AH54" s="1021"/>
      <c r="AI54" s="1019"/>
      <c r="AJ54" s="1020"/>
      <c r="AK54" s="1020"/>
      <c r="AL54" s="1021"/>
      <c r="AM54" s="513"/>
    </row>
    <row r="55" spans="2:39" ht="16">
      <c r="B55" s="505" t="s">
        <v>54</v>
      </c>
      <c r="C55" s="506" t="s">
        <v>89</v>
      </c>
      <c r="D55" s="518">
        <f>SUM(D51:D54)</f>
        <v>3.1135999999999999</v>
      </c>
      <c r="E55" s="1010">
        <f>SUM(E51:H54)</f>
        <v>3.1135999999999999</v>
      </c>
      <c r="F55" s="1011"/>
      <c r="G55" s="1011"/>
      <c r="H55" s="1012"/>
      <c r="I55" s="518">
        <f>SUM(I51:I54)</f>
        <v>3.2692000000000001</v>
      </c>
      <c r="J55" s="1010">
        <f>SUM(J51:M54)</f>
        <v>3.2692000000000001</v>
      </c>
      <c r="K55" s="1011"/>
      <c r="L55" s="1011"/>
      <c r="M55" s="1012"/>
      <c r="N55" s="518">
        <f>SUM(N51:N54)</f>
        <v>3.4327999999999999</v>
      </c>
      <c r="O55" s="1010">
        <f>SUM(O51:R54)</f>
        <v>3.4327999999999999</v>
      </c>
      <c r="P55" s="1011"/>
      <c r="Q55" s="1011"/>
      <c r="R55" s="1012"/>
      <c r="S55" s="1010">
        <f>SUM(S51:V54)</f>
        <v>3.0816000000000003</v>
      </c>
      <c r="T55" s="1011"/>
      <c r="U55" s="1011"/>
      <c r="V55" s="1012"/>
      <c r="W55" s="1010">
        <f>SUM(W51:Z54)</f>
        <v>3.2004000000000001</v>
      </c>
      <c r="X55" s="1011"/>
      <c r="Y55" s="1011"/>
      <c r="Z55" s="1012"/>
      <c r="AA55" s="1010">
        <f>SUM(AA51:AD54)</f>
        <v>3.3236000000000003</v>
      </c>
      <c r="AB55" s="1011"/>
      <c r="AC55" s="1011"/>
      <c r="AD55" s="1012"/>
      <c r="AE55" s="1010">
        <f>SUM(AE51:AH54)</f>
        <v>3.4516000000000004</v>
      </c>
      <c r="AF55" s="1011"/>
      <c r="AG55" s="1011"/>
      <c r="AH55" s="1012"/>
      <c r="AI55" s="1010">
        <f>SUM(AI51:AL54)</f>
        <v>3.5844</v>
      </c>
      <c r="AJ55" s="1011"/>
      <c r="AK55" s="1011"/>
      <c r="AL55" s="1012"/>
      <c r="AM55" s="519"/>
    </row>
    <row r="56" spans="2:39" ht="17" thickBot="1">
      <c r="B56" s="520" t="s">
        <v>101</v>
      </c>
      <c r="C56" s="521" t="s">
        <v>619</v>
      </c>
      <c r="D56" s="522">
        <f>D34+D55</f>
        <v>4.5655999999999999</v>
      </c>
      <c r="E56" s="1013">
        <f>E34+E55</f>
        <v>4.5655999999999999</v>
      </c>
      <c r="F56" s="1014"/>
      <c r="G56" s="1014"/>
      <c r="H56" s="1015"/>
      <c r="I56" s="522">
        <f>I34+I55</f>
        <v>4.7872000000000003</v>
      </c>
      <c r="J56" s="1013">
        <f>J34+J55</f>
        <v>4.7872000000000003</v>
      </c>
      <c r="K56" s="1014"/>
      <c r="L56" s="1014"/>
      <c r="M56" s="1015"/>
      <c r="N56" s="522">
        <f>N34+N55</f>
        <v>5.0167999999999999</v>
      </c>
      <c r="O56" s="1013">
        <f>O34+O55</f>
        <v>5.0167999999999999</v>
      </c>
      <c r="P56" s="1014"/>
      <c r="Q56" s="1014"/>
      <c r="R56" s="1015"/>
      <c r="S56" s="1013">
        <f>S34+S55</f>
        <v>4.5335999999999999</v>
      </c>
      <c r="T56" s="1014"/>
      <c r="U56" s="1014"/>
      <c r="V56" s="1015"/>
      <c r="W56" s="1013">
        <f>W34+W55</f>
        <v>4.6854000000000005</v>
      </c>
      <c r="X56" s="1014"/>
      <c r="Y56" s="1014"/>
      <c r="Z56" s="1015"/>
      <c r="AA56" s="1013">
        <f>AA34+AA55</f>
        <v>4.8746</v>
      </c>
      <c r="AB56" s="1014"/>
      <c r="AC56" s="1014"/>
      <c r="AD56" s="1015"/>
      <c r="AE56" s="1013">
        <f>AE34+AE55</f>
        <v>5.0686</v>
      </c>
      <c r="AF56" s="1014"/>
      <c r="AG56" s="1014"/>
      <c r="AH56" s="1015"/>
      <c r="AI56" s="1013">
        <f>AI34+AI55</f>
        <v>5.2674000000000003</v>
      </c>
      <c r="AJ56" s="1014"/>
      <c r="AK56" s="1014"/>
      <c r="AL56" s="1015"/>
      <c r="AM56" s="523"/>
    </row>
    <row r="57" spans="2:39">
      <c r="B57" s="524"/>
      <c r="C57" s="525"/>
      <c r="D57" s="525"/>
      <c r="E57" s="525"/>
      <c r="F57" s="525"/>
      <c r="G57" s="525"/>
      <c r="H57" s="525"/>
    </row>
    <row r="58" spans="2:39" hidden="1">
      <c r="B58" s="275" t="s">
        <v>736</v>
      </c>
      <c r="C58" s="957"/>
      <c r="D58" s="469"/>
      <c r="E58" s="469"/>
      <c r="F58" s="469"/>
      <c r="G58" s="469"/>
      <c r="H58" s="469"/>
    </row>
    <row r="59" spans="2:39" hidden="1">
      <c r="B59" s="526" t="s">
        <v>921</v>
      </c>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row>
    <row r="60" spans="2:39" hidden="1">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row>
    <row r="61" spans="2:39">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row>
    <row r="62" spans="2:39">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row>
    <row r="63" spans="2:39">
      <c r="B63" s="527"/>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row>
    <row r="64" spans="2:39">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row>
    <row r="65" spans="2:39">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row>
  </sheetData>
  <mergeCells count="236">
    <mergeCell ref="S50:V50"/>
    <mergeCell ref="AE50:AH50"/>
    <mergeCell ref="S49:V49"/>
    <mergeCell ref="W49:Z49"/>
    <mergeCell ref="AE49:AH49"/>
    <mergeCell ref="AA46:AD46"/>
    <mergeCell ref="AE55:AH55"/>
    <mergeCell ref="AI55:AL55"/>
    <mergeCell ref="S56:V56"/>
    <mergeCell ref="W56:Z56"/>
    <mergeCell ref="AE56:AH56"/>
    <mergeCell ref="AI56:AL56"/>
    <mergeCell ref="AI47:AL47"/>
    <mergeCell ref="AI48:AL48"/>
    <mergeCell ref="AE48:AH48"/>
    <mergeCell ref="AE52:AH52"/>
    <mergeCell ref="AE53:AH53"/>
    <mergeCell ref="AE54:AH54"/>
    <mergeCell ref="W51:Z51"/>
    <mergeCell ref="S51:V51"/>
    <mergeCell ref="AE51:AH51"/>
    <mergeCell ref="AI52:AL52"/>
    <mergeCell ref="AI53:AL53"/>
    <mergeCell ref="AI54:AL54"/>
    <mergeCell ref="AI50:AL50"/>
    <mergeCell ref="AI51:AL51"/>
    <mergeCell ref="W52:Z52"/>
    <mergeCell ref="W53:Z53"/>
    <mergeCell ref="AE44:AH44"/>
    <mergeCell ref="AE45:AH45"/>
    <mergeCell ref="AE46:AH46"/>
    <mergeCell ref="AE47:AH47"/>
    <mergeCell ref="AI44:AL44"/>
    <mergeCell ref="AI45:AL45"/>
    <mergeCell ref="AI46:AL46"/>
    <mergeCell ref="AI49:AL49"/>
    <mergeCell ref="W50:Z50"/>
    <mergeCell ref="S26:V26"/>
    <mergeCell ref="W22:Z22"/>
    <mergeCell ref="W23:Z23"/>
    <mergeCell ref="W24:Z24"/>
    <mergeCell ref="W25:Z25"/>
    <mergeCell ref="W26:Z26"/>
    <mergeCell ref="AE25:AH25"/>
    <mergeCell ref="AA34:AD34"/>
    <mergeCell ref="S25:V25"/>
    <mergeCell ref="S44:V44"/>
    <mergeCell ref="S43:V43"/>
    <mergeCell ref="W43:Z43"/>
    <mergeCell ref="AE43:AH43"/>
    <mergeCell ref="W44:Z44"/>
    <mergeCell ref="W45:Z45"/>
    <mergeCell ref="W46:Z46"/>
    <mergeCell ref="W47:Z47"/>
    <mergeCell ref="W48:Z48"/>
    <mergeCell ref="S45:V45"/>
    <mergeCell ref="S46:V46"/>
    <mergeCell ref="S47:V47"/>
    <mergeCell ref="S48:V48"/>
    <mergeCell ref="AI22:AL22"/>
    <mergeCell ref="AI23:AL23"/>
    <mergeCell ref="AI24:AL24"/>
    <mergeCell ref="S23:V23"/>
    <mergeCell ref="S24:V24"/>
    <mergeCell ref="AA24:AD24"/>
    <mergeCell ref="AE22:AH22"/>
    <mergeCell ref="AE23:AH23"/>
    <mergeCell ref="AE24:AH24"/>
    <mergeCell ref="S22:V22"/>
    <mergeCell ref="AN9:AN10"/>
    <mergeCell ref="AN32:AN33"/>
    <mergeCell ref="W20:Z20"/>
    <mergeCell ref="W21:Z21"/>
    <mergeCell ref="AE20:AH20"/>
    <mergeCell ref="AE21:AH21"/>
    <mergeCell ref="AI20:AL20"/>
    <mergeCell ref="AI21:AL21"/>
    <mergeCell ref="S9:V9"/>
    <mergeCell ref="S31:V31"/>
    <mergeCell ref="S32:V32"/>
    <mergeCell ref="S33:V33"/>
    <mergeCell ref="W31:Z31"/>
    <mergeCell ref="W32:Z32"/>
    <mergeCell ref="W33:Z33"/>
    <mergeCell ref="S29:V29"/>
    <mergeCell ref="S28:V28"/>
    <mergeCell ref="S30:V30"/>
    <mergeCell ref="W28:Z28"/>
    <mergeCell ref="W29:Z29"/>
    <mergeCell ref="W30:Z30"/>
    <mergeCell ref="AE28:AH28"/>
    <mergeCell ref="S21:V21"/>
    <mergeCell ref="S20:V20"/>
    <mergeCell ref="B3:AM3"/>
    <mergeCell ref="B4:AM4"/>
    <mergeCell ref="B8:B10"/>
    <mergeCell ref="C8:C10"/>
    <mergeCell ref="AM8:AM10"/>
    <mergeCell ref="W9:Z9"/>
    <mergeCell ref="AE9:AH9"/>
    <mergeCell ref="AI9:AL9"/>
    <mergeCell ref="O9:R9"/>
    <mergeCell ref="J9:M9"/>
    <mergeCell ref="S8:V8"/>
    <mergeCell ref="W8:Z8"/>
    <mergeCell ref="AE8:AH8"/>
    <mergeCell ref="AI8:AL8"/>
    <mergeCell ref="AA8:AD8"/>
    <mergeCell ref="AA9:AD9"/>
    <mergeCell ref="D8:H8"/>
    <mergeCell ref="I8:M8"/>
    <mergeCell ref="N8:R8"/>
    <mergeCell ref="B5:C5"/>
    <mergeCell ref="AI43:AL43"/>
    <mergeCell ref="S27:V27"/>
    <mergeCell ref="W27:Z27"/>
    <mergeCell ref="AE27:AH27"/>
    <mergeCell ref="AI27:AL27"/>
    <mergeCell ref="AI25:AL25"/>
    <mergeCell ref="AI26:AL26"/>
    <mergeCell ref="S34:V34"/>
    <mergeCell ref="W34:Z34"/>
    <mergeCell ref="AE34:AH34"/>
    <mergeCell ref="AI34:AL34"/>
    <mergeCell ref="AI30:AL30"/>
    <mergeCell ref="AI31:AL31"/>
    <mergeCell ref="AI32:AL32"/>
    <mergeCell ref="AI33:AL33"/>
    <mergeCell ref="AE26:AH26"/>
    <mergeCell ref="AE30:AH30"/>
    <mergeCell ref="AE31:AH31"/>
    <mergeCell ref="AE32:AH32"/>
    <mergeCell ref="AE33:AH33"/>
    <mergeCell ref="AI28:AL28"/>
    <mergeCell ref="AI29:AL29"/>
    <mergeCell ref="AE29:AH29"/>
    <mergeCell ref="AA31:AD31"/>
    <mergeCell ref="O25:R25"/>
    <mergeCell ref="O26:R26"/>
    <mergeCell ref="O27:R27"/>
    <mergeCell ref="O28:R28"/>
    <mergeCell ref="O29:R29"/>
    <mergeCell ref="O30:R30"/>
    <mergeCell ref="O54:R54"/>
    <mergeCell ref="O55:R55"/>
    <mergeCell ref="O56:R56"/>
    <mergeCell ref="O31:R31"/>
    <mergeCell ref="O32:R32"/>
    <mergeCell ref="O33:R33"/>
    <mergeCell ref="O34:R34"/>
    <mergeCell ref="O43:R43"/>
    <mergeCell ref="O44:R44"/>
    <mergeCell ref="O45:R45"/>
    <mergeCell ref="O46:R46"/>
    <mergeCell ref="O47:R47"/>
    <mergeCell ref="O48:R48"/>
    <mergeCell ref="O49:R49"/>
    <mergeCell ref="O50:R50"/>
    <mergeCell ref="O51:R51"/>
    <mergeCell ref="O52:R52"/>
    <mergeCell ref="O53:R53"/>
    <mergeCell ref="O20:R20"/>
    <mergeCell ref="O21:R21"/>
    <mergeCell ref="J20:M20"/>
    <mergeCell ref="J21:M21"/>
    <mergeCell ref="O22:R22"/>
    <mergeCell ref="O23:R23"/>
    <mergeCell ref="O24:R24"/>
    <mergeCell ref="E9:H9"/>
    <mergeCell ref="J55:M55"/>
    <mergeCell ref="E53:H53"/>
    <mergeCell ref="E54:H54"/>
    <mergeCell ref="E20:H20"/>
    <mergeCell ref="E21:H21"/>
    <mergeCell ref="E22:H22"/>
    <mergeCell ref="E23:H23"/>
    <mergeCell ref="E24:H24"/>
    <mergeCell ref="E25:H25"/>
    <mergeCell ref="E26:H26"/>
    <mergeCell ref="E27:H27"/>
    <mergeCell ref="E28:H28"/>
    <mergeCell ref="E29:H29"/>
    <mergeCell ref="E30:H30"/>
    <mergeCell ref="E31:H31"/>
    <mergeCell ref="E32:H32"/>
    <mergeCell ref="J22:M22"/>
    <mergeCell ref="J23:M23"/>
    <mergeCell ref="J24:M24"/>
    <mergeCell ref="E52:H52"/>
    <mergeCell ref="J29:M29"/>
    <mergeCell ref="J30:M30"/>
    <mergeCell ref="J25:M25"/>
    <mergeCell ref="J26:M26"/>
    <mergeCell ref="J27:M27"/>
    <mergeCell ref="J28:M28"/>
    <mergeCell ref="E33:H33"/>
    <mergeCell ref="E43:H43"/>
    <mergeCell ref="E44:H44"/>
    <mergeCell ref="E45:H45"/>
    <mergeCell ref="E46:H46"/>
    <mergeCell ref="E47:H47"/>
    <mergeCell ref="E48:H48"/>
    <mergeCell ref="E49:H49"/>
    <mergeCell ref="E50:H50"/>
    <mergeCell ref="E34:H34"/>
    <mergeCell ref="J31:M31"/>
    <mergeCell ref="J32:M32"/>
    <mergeCell ref="J33:M33"/>
    <mergeCell ref="J34:M34"/>
    <mergeCell ref="E55:H55"/>
    <mergeCell ref="E56:H56"/>
    <mergeCell ref="AA52:AD52"/>
    <mergeCell ref="AA53:AD53"/>
    <mergeCell ref="AA54:AD54"/>
    <mergeCell ref="AA55:AD55"/>
    <mergeCell ref="AA56:AD56"/>
    <mergeCell ref="E51:H51"/>
    <mergeCell ref="J56:M56"/>
    <mergeCell ref="J52:M52"/>
    <mergeCell ref="J53:M53"/>
    <mergeCell ref="J54:M54"/>
    <mergeCell ref="S55:V55"/>
    <mergeCell ref="W55:Z55"/>
    <mergeCell ref="S52:V52"/>
    <mergeCell ref="S53:V53"/>
    <mergeCell ref="S54:V54"/>
    <mergeCell ref="W54:Z54"/>
    <mergeCell ref="J43:M43"/>
    <mergeCell ref="J44:M44"/>
    <mergeCell ref="J45:M45"/>
    <mergeCell ref="J46:M46"/>
    <mergeCell ref="J47:M47"/>
    <mergeCell ref="J48:M48"/>
    <mergeCell ref="J49:M49"/>
    <mergeCell ref="J50:M50"/>
    <mergeCell ref="J51:M51"/>
  </mergeCells>
  <pageMargins left="0.43307086614173229" right="0.43307086614173229" top="0.43307086614173229" bottom="0.43307086614173229" header="0.31496062992125984" footer="0.31496062992125984"/>
  <pageSetup paperSize="9" scale="48" fitToWidth="2" fitToHeight="2" orientation="landscape" r:id="rId1"/>
  <headerFooter>
    <oddFooter>&amp;CPage. &amp;P</oddFooter>
  </headerFooter>
  <colBreaks count="1" manualBreakCount="1">
    <brk id="18" max="5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C3:G30"/>
  <sheetViews>
    <sheetView showGridLines="0" topLeftCell="A8" workbookViewId="0">
      <selection activeCell="E71" sqref="E71"/>
    </sheetView>
  </sheetViews>
  <sheetFormatPr baseColWidth="10" defaultColWidth="9.1640625" defaultRowHeight="15"/>
  <cols>
    <col min="1" max="2" width="9.1640625" style="747"/>
    <col min="3" max="3" width="26.33203125" style="747" bestFit="1" customWidth="1"/>
    <col min="4" max="7" width="11.5" style="747" customWidth="1"/>
    <col min="8" max="8" width="9.1640625" style="747" customWidth="1"/>
    <col min="9" max="16384" width="9.1640625" style="747"/>
  </cols>
  <sheetData>
    <row r="3" spans="3:7">
      <c r="C3" s="1259" t="str">
        <f>Index!B2</f>
        <v>Jaigad Power Transco Ltd</v>
      </c>
      <c r="D3" s="1259"/>
      <c r="E3" s="1259"/>
      <c r="F3" s="1259"/>
      <c r="G3" s="1259"/>
    </row>
    <row r="5" spans="3:7" ht="35.25" customHeight="1">
      <c r="C5" s="1257" t="s">
        <v>826</v>
      </c>
      <c r="D5" s="1257"/>
      <c r="E5" s="1257"/>
      <c r="F5" s="1257"/>
      <c r="G5" s="1257"/>
    </row>
    <row r="6" spans="3:7">
      <c r="C6" s="826" t="s">
        <v>827</v>
      </c>
      <c r="D6" s="1258" t="s">
        <v>213</v>
      </c>
      <c r="E6" s="1258"/>
      <c r="F6" s="1258" t="s">
        <v>214</v>
      </c>
      <c r="G6" s="1258"/>
    </row>
    <row r="7" spans="3:7" ht="48">
      <c r="C7" s="826"/>
      <c r="D7" s="826" t="s">
        <v>26</v>
      </c>
      <c r="E7" s="827" t="s">
        <v>828</v>
      </c>
      <c r="F7" s="826" t="s">
        <v>26</v>
      </c>
      <c r="G7" s="827" t="s">
        <v>828</v>
      </c>
    </row>
    <row r="8" spans="3:7">
      <c r="C8" s="771" t="s">
        <v>266</v>
      </c>
      <c r="D8" s="828">
        <f>'F9'!F65</f>
        <v>34.162930130714471</v>
      </c>
      <c r="E8" s="828">
        <f>D8</f>
        <v>34.162930130714471</v>
      </c>
      <c r="F8" s="828">
        <f>'F9'!I65</f>
        <v>30.789467199999997</v>
      </c>
      <c r="G8" s="828">
        <f>F8</f>
        <v>30.789467199999997</v>
      </c>
    </row>
    <row r="9" spans="3:7">
      <c r="C9" s="769" t="s">
        <v>829</v>
      </c>
      <c r="D9" s="829"/>
      <c r="E9" s="829"/>
      <c r="F9" s="829"/>
      <c r="G9" s="829"/>
    </row>
    <row r="10" spans="3:7">
      <c r="C10" s="769" t="s">
        <v>830</v>
      </c>
      <c r="D10" s="829"/>
      <c r="E10" s="829">
        <v>2.1829356</v>
      </c>
      <c r="F10" s="829"/>
      <c r="G10" s="829">
        <v>1.4130349000000002</v>
      </c>
    </row>
    <row r="11" spans="3:7">
      <c r="C11" s="769" t="s">
        <v>831</v>
      </c>
      <c r="D11" s="829"/>
      <c r="E11" s="829">
        <f>'F1 '!F22+'F1 '!F23</f>
        <v>-0.43437239980831677</v>
      </c>
      <c r="F11" s="829"/>
      <c r="G11" s="829">
        <f>'F1 '!I22+'F1 '!I23</f>
        <v>0.18126698079725179</v>
      </c>
    </row>
    <row r="12" spans="3:7">
      <c r="C12" s="769" t="s">
        <v>832</v>
      </c>
      <c r="D12" s="829"/>
      <c r="E12" s="829">
        <f ca="1">'F1 '!F21</f>
        <v>1.7366201766218679</v>
      </c>
      <c r="F12" s="829"/>
      <c r="G12" s="829">
        <f ca="1">'F1 '!I21</f>
        <v>1.4065636131886705</v>
      </c>
    </row>
    <row r="13" spans="3:7">
      <c r="C13" s="771" t="s">
        <v>304</v>
      </c>
      <c r="D13" s="828">
        <f>D8-SUM(D10:D12)</f>
        <v>34.162930130714471</v>
      </c>
      <c r="E13" s="828">
        <f ca="1">E8-SUM(E10:E12)</f>
        <v>30.677746753900919</v>
      </c>
      <c r="F13" s="828">
        <f>F8-SUM(F10:F12)</f>
        <v>30.789467199999997</v>
      </c>
      <c r="G13" s="828">
        <f ca="1">G8-SUM(G10:G12)</f>
        <v>27.788601706014074</v>
      </c>
    </row>
    <row r="14" spans="3:7">
      <c r="C14" s="769" t="s">
        <v>833</v>
      </c>
      <c r="D14" s="829">
        <f>'F9'!F84</f>
        <v>7.344465257782959</v>
      </c>
      <c r="E14" s="829">
        <f ca="1">E13*E17</f>
        <v>6.5952084425721109</v>
      </c>
      <c r="F14" s="829">
        <f>'F9'!I84</f>
        <v>6.685796627328001</v>
      </c>
      <c r="G14" s="829">
        <f ca="1">G13*G17</f>
        <v>6.0341719574877875</v>
      </c>
    </row>
    <row r="15" spans="3:7">
      <c r="C15" s="769" t="s">
        <v>834</v>
      </c>
      <c r="D15" s="829"/>
      <c r="E15" s="829"/>
      <c r="F15" s="829"/>
      <c r="G15" s="829"/>
    </row>
    <row r="16" spans="3:7">
      <c r="C16" s="771" t="s">
        <v>835</v>
      </c>
      <c r="D16" s="828">
        <f>D14+D15</f>
        <v>7.344465257782959</v>
      </c>
      <c r="E16" s="828">
        <f ca="1">E14+E15</f>
        <v>6.5952084425721109</v>
      </c>
      <c r="F16" s="828">
        <f>F14+F15</f>
        <v>6.685796627328001</v>
      </c>
      <c r="G16" s="828">
        <f ca="1">G14+G15</f>
        <v>6.0341719574877875</v>
      </c>
    </row>
    <row r="17" spans="3:7">
      <c r="C17" s="771" t="s">
        <v>836</v>
      </c>
      <c r="D17" s="830">
        <f>D16/D13</f>
        <v>0.21498346979259414</v>
      </c>
      <c r="E17" s="831">
        <f>D17</f>
        <v>0.21498346979259414</v>
      </c>
      <c r="F17" s="830">
        <f>F16/F13</f>
        <v>0.21714557721635408</v>
      </c>
      <c r="G17" s="831">
        <f>F17</f>
        <v>0.21714557721635408</v>
      </c>
    </row>
    <row r="20" spans="3:7">
      <c r="C20" s="1260" t="s">
        <v>851</v>
      </c>
      <c r="D20" s="1260"/>
      <c r="E20" s="1260"/>
    </row>
    <row r="21" spans="3:7">
      <c r="C21" s="771" t="s">
        <v>4</v>
      </c>
      <c r="D21" s="770" t="s">
        <v>213</v>
      </c>
      <c r="E21" s="770" t="s">
        <v>214</v>
      </c>
    </row>
    <row r="22" spans="3:7">
      <c r="C22" s="769" t="s">
        <v>852</v>
      </c>
      <c r="D22" s="769">
        <v>0.86</v>
      </c>
      <c r="E22" s="603">
        <v>0.82</v>
      </c>
    </row>
    <row r="23" spans="3:7">
      <c r="C23" s="769" t="s">
        <v>853</v>
      </c>
      <c r="D23" s="769">
        <v>1.63</v>
      </c>
      <c r="E23" s="603">
        <v>1.63</v>
      </c>
    </row>
    <row r="24" spans="3:7">
      <c r="C24" s="769" t="s">
        <v>854</v>
      </c>
      <c r="D24" s="769">
        <v>1.66</v>
      </c>
      <c r="E24" s="603">
        <v>1.29</v>
      </c>
    </row>
    <row r="25" spans="3:7">
      <c r="C25" s="769" t="s">
        <v>855</v>
      </c>
      <c r="D25" s="769">
        <v>1.36</v>
      </c>
      <c r="E25" s="603">
        <v>1.49</v>
      </c>
    </row>
    <row r="26" spans="3:7">
      <c r="C26" s="769" t="s">
        <v>856</v>
      </c>
      <c r="D26" s="603">
        <f>1603990/10^7</f>
        <v>0.16039900000000001</v>
      </c>
      <c r="E26" s="603">
        <f>533960/10^7</f>
        <v>5.3395999999999999E-2</v>
      </c>
    </row>
    <row r="27" spans="3:7">
      <c r="C27" s="769" t="s">
        <v>857</v>
      </c>
      <c r="D27" s="603">
        <f>16786068/10^7</f>
        <v>1.6786068000000001</v>
      </c>
      <c r="E27" s="788">
        <f>14093839/10^7</f>
        <v>1.4093838999999999</v>
      </c>
    </row>
    <row r="28" spans="3:7">
      <c r="C28" s="771" t="s">
        <v>23</v>
      </c>
      <c r="D28" s="602">
        <f>SUM(D22:D27)</f>
        <v>7.3490057999999996</v>
      </c>
      <c r="E28" s="602">
        <f>SUM(E22:E27)</f>
        <v>6.6927798999999997</v>
      </c>
    </row>
    <row r="29" spans="3:7">
      <c r="C29" s="769" t="s">
        <v>858</v>
      </c>
      <c r="D29" s="603">
        <f>45402/10^7</f>
        <v>4.5402000000000003E-3</v>
      </c>
      <c r="E29" s="788">
        <f>69831/10^7</f>
        <v>6.9830999999999999E-3</v>
      </c>
    </row>
    <row r="30" spans="3:7">
      <c r="C30" s="771" t="s">
        <v>23</v>
      </c>
      <c r="D30" s="772">
        <f>D28-D29</f>
        <v>7.3444655999999995</v>
      </c>
      <c r="E30" s="772">
        <f>E28-E29</f>
        <v>6.6857967999999994</v>
      </c>
    </row>
  </sheetData>
  <mergeCells count="5">
    <mergeCell ref="C5:G5"/>
    <mergeCell ref="D6:E6"/>
    <mergeCell ref="F6:G6"/>
    <mergeCell ref="C3:G3"/>
    <mergeCell ref="C20:E20"/>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C2:F11"/>
  <sheetViews>
    <sheetView showGridLines="0" workbookViewId="0">
      <selection activeCell="E71" sqref="E71"/>
    </sheetView>
  </sheetViews>
  <sheetFormatPr baseColWidth="10" defaultColWidth="9.1640625" defaultRowHeight="13"/>
  <cols>
    <col min="1" max="2" width="9.1640625" style="711"/>
    <col min="3" max="3" width="37.33203125" style="711" bestFit="1" customWidth="1"/>
    <col min="4" max="4" width="13.5" style="711" customWidth="1"/>
    <col min="5" max="5" width="11.33203125" style="711" customWidth="1"/>
    <col min="6" max="16384" width="9.1640625" style="711"/>
  </cols>
  <sheetData>
    <row r="2" spans="3:6" ht="15">
      <c r="C2" s="1261" t="str">
        <f>Index!B2</f>
        <v>Jaigad Power Transco Ltd</v>
      </c>
      <c r="D2" s="1261"/>
      <c r="E2" s="1261"/>
    </row>
    <row r="3" spans="3:6" ht="12.75" customHeight="1">
      <c r="C3" s="1262" t="s">
        <v>870</v>
      </c>
      <c r="D3" s="1262"/>
      <c r="E3" s="1262"/>
    </row>
    <row r="4" spans="3:6" ht="16">
      <c r="C4" s="753" t="s">
        <v>4</v>
      </c>
      <c r="D4" s="753" t="s">
        <v>842</v>
      </c>
      <c r="E4" s="753" t="s">
        <v>214</v>
      </c>
    </row>
    <row r="5" spans="3:6" ht="15">
      <c r="C5" s="755" t="s">
        <v>837</v>
      </c>
      <c r="D5" s="756">
        <f ca="1">'F13'!J25-'F13'!J22</f>
        <v>104.41029282757253</v>
      </c>
      <c r="E5" s="756">
        <f ca="1">'F13'!J54-'F13'!J52</f>
        <v>82.540858738017548</v>
      </c>
    </row>
    <row r="6" spans="3:6" ht="15">
      <c r="C6" s="750" t="s">
        <v>838</v>
      </c>
      <c r="D6" s="757">
        <v>0.98</v>
      </c>
      <c r="E6" s="757">
        <v>0.98</v>
      </c>
    </row>
    <row r="7" spans="3:6" ht="15">
      <c r="C7" s="750" t="s">
        <v>839</v>
      </c>
      <c r="D7" s="757">
        <v>0.99629999999999996</v>
      </c>
      <c r="E7" s="757">
        <v>0.99670000000000003</v>
      </c>
      <c r="F7" s="758"/>
    </row>
    <row r="8" spans="3:6" ht="15">
      <c r="C8" s="747" t="s">
        <v>840</v>
      </c>
      <c r="D8" s="757">
        <f>99.75%</f>
        <v>0.99750000000000005</v>
      </c>
      <c r="E8" s="757">
        <f>99.75%</f>
        <v>0.99750000000000005</v>
      </c>
    </row>
    <row r="9" spans="3:6" ht="15">
      <c r="C9" s="750" t="s">
        <v>841</v>
      </c>
      <c r="D9" s="756">
        <f ca="1">IF(D7&lt;=D8,D5*(D7-D6)/D6,D5*(D8-D6)/D6)</f>
        <v>1.7366201766218679</v>
      </c>
      <c r="E9" s="756">
        <f ca="1">IF(E7&lt;=E8,E5*(E7-E6)/E6,E5*(E8-E6)/E6)</f>
        <v>1.4065636131886705</v>
      </c>
    </row>
    <row r="11" spans="3:6" ht="14">
      <c r="D11" s="759">
        <f ca="1">'F1 '!F24-'F1 '!F21+'F1 '!F25-D5</f>
        <v>0</v>
      </c>
      <c r="E11" s="759">
        <f ca="1">'F1 '!I24-'F1 '!I21-E5</f>
        <v>0</v>
      </c>
    </row>
  </sheetData>
  <mergeCells count="2">
    <mergeCell ref="C2:E2"/>
    <mergeCell ref="C3:E3"/>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3:N27"/>
  <sheetViews>
    <sheetView showGridLines="0" topLeftCell="F10" workbookViewId="0">
      <selection activeCell="E71" sqref="E71"/>
    </sheetView>
  </sheetViews>
  <sheetFormatPr baseColWidth="10" defaultColWidth="9.1640625" defaultRowHeight="15"/>
  <cols>
    <col min="1" max="1" width="9.1640625" style="25"/>
    <col min="2" max="2" width="25" style="25" bestFit="1" customWidth="1"/>
    <col min="3" max="8" width="17.5" style="25" customWidth="1"/>
    <col min="9" max="11" width="9.1640625" style="25"/>
    <col min="12" max="12" width="74.83203125" style="25" bestFit="1" customWidth="1"/>
    <col min="13" max="14" width="10.83203125" style="25" customWidth="1"/>
    <col min="15" max="16384" width="9.1640625" style="25"/>
  </cols>
  <sheetData>
    <row r="3" spans="2:14">
      <c r="B3" s="1263" t="s">
        <v>213</v>
      </c>
      <c r="C3" s="1263"/>
      <c r="D3" s="1263"/>
      <c r="E3" s="1263"/>
      <c r="F3" s="1263"/>
      <c r="G3" s="1263"/>
      <c r="H3" s="1263"/>
    </row>
    <row r="4" spans="2:14" ht="64">
      <c r="B4" s="823" t="s">
        <v>800</v>
      </c>
      <c r="C4" s="823" t="s">
        <v>801</v>
      </c>
      <c r="D4" s="823" t="s">
        <v>26</v>
      </c>
      <c r="E4" s="823" t="s">
        <v>802</v>
      </c>
      <c r="F4" s="823" t="s">
        <v>803</v>
      </c>
      <c r="G4" s="823" t="s">
        <v>804</v>
      </c>
      <c r="H4" s="823" t="s">
        <v>805</v>
      </c>
    </row>
    <row r="5" spans="2:14">
      <c r="B5" s="661" t="s">
        <v>806</v>
      </c>
      <c r="C5" s="662">
        <f>'F2.1 '!D56</f>
        <v>4.5655999999999999</v>
      </c>
      <c r="D5" s="662">
        <f>'F1 '!F9</f>
        <v>4.2770514790000007</v>
      </c>
      <c r="E5" s="662">
        <f>C5</f>
        <v>4.5655999999999999</v>
      </c>
      <c r="F5" s="662">
        <f>(C5-D5)</f>
        <v>0.28854852099999917</v>
      </c>
      <c r="G5" s="663">
        <f>IF(F5&gt;0,F5*1/3,F5*2/3)</f>
        <v>9.6182840333333061E-2</v>
      </c>
      <c r="H5" s="664">
        <f>G5+D5</f>
        <v>4.3732343193333341</v>
      </c>
    </row>
    <row r="6" spans="2:14">
      <c r="B6" s="665" t="s">
        <v>807</v>
      </c>
      <c r="C6" s="666">
        <f>'F1 '!F12</f>
        <v>1.7374923011893204</v>
      </c>
      <c r="D6" s="666"/>
      <c r="E6" s="666">
        <f>C6</f>
        <v>1.7374923011893204</v>
      </c>
      <c r="F6" s="666">
        <f>(C6-D6)</f>
        <v>1.7374923011893204</v>
      </c>
      <c r="G6" s="663">
        <f>IF(F6&gt;0,F6*1/3,F6*2/3)</f>
        <v>0.57916410039644017</v>
      </c>
      <c r="H6" s="663">
        <f>G6+D6</f>
        <v>0.57916410039644017</v>
      </c>
    </row>
    <row r="7" spans="2:14">
      <c r="B7" s="703" t="s">
        <v>808</v>
      </c>
      <c r="C7" s="667">
        <f>SUM(C5:C6)</f>
        <v>6.3030923011893201</v>
      </c>
      <c r="D7" s="667">
        <f t="shared" ref="D7:H7" si="0">SUM(D5:D6)</f>
        <v>4.2770514790000007</v>
      </c>
      <c r="E7" s="667">
        <f t="shared" si="0"/>
        <v>6.3030923011893201</v>
      </c>
      <c r="F7" s="667">
        <f t="shared" si="0"/>
        <v>2.0260408221893194</v>
      </c>
      <c r="G7" s="667">
        <f t="shared" si="0"/>
        <v>0.67534694072977319</v>
      </c>
      <c r="H7" s="667">
        <f t="shared" si="0"/>
        <v>4.9523984197297741</v>
      </c>
    </row>
    <row r="8" spans="2:14">
      <c r="B8" s="1263" t="s">
        <v>214</v>
      </c>
      <c r="C8" s="1263"/>
      <c r="D8" s="1263"/>
      <c r="E8" s="1263"/>
      <c r="F8" s="1263"/>
      <c r="G8" s="1263"/>
      <c r="H8" s="1263"/>
    </row>
    <row r="9" spans="2:14" ht="64">
      <c r="B9" s="823" t="s">
        <v>800</v>
      </c>
      <c r="C9" s="823" t="s">
        <v>809</v>
      </c>
      <c r="D9" s="823" t="s">
        <v>26</v>
      </c>
      <c r="E9" s="823" t="s">
        <v>802</v>
      </c>
      <c r="F9" s="823" t="s">
        <v>803</v>
      </c>
      <c r="G9" s="823" t="s">
        <v>804</v>
      </c>
      <c r="H9" s="823" t="s">
        <v>805</v>
      </c>
    </row>
    <row r="10" spans="2:14">
      <c r="B10" s="665" t="s">
        <v>806</v>
      </c>
      <c r="C10" s="666">
        <f>'F2.1 '!I56</f>
        <v>4.7872000000000003</v>
      </c>
      <c r="D10" s="666">
        <f>'F1 '!I9</f>
        <v>3.9119548000000002</v>
      </c>
      <c r="E10" s="666">
        <f>C10</f>
        <v>4.7872000000000003</v>
      </c>
      <c r="F10" s="666">
        <f>(C10-D10)</f>
        <v>0.87524520000000017</v>
      </c>
      <c r="G10" s="663">
        <f>IF(F10&gt;0,F10*1/3,F10*2/3)</f>
        <v>0.29174840000000007</v>
      </c>
      <c r="H10" s="663">
        <f>G10+D10</f>
        <v>4.2037032000000005</v>
      </c>
    </row>
    <row r="11" spans="2:14">
      <c r="B11" s="665" t="s">
        <v>807</v>
      </c>
      <c r="C11" s="666">
        <f>'F1 '!I12</f>
        <v>1.5247298533533395</v>
      </c>
      <c r="D11" s="666"/>
      <c r="E11" s="666">
        <f>C11</f>
        <v>1.5247298533533395</v>
      </c>
      <c r="F11" s="666">
        <f>(C11-D11)</f>
        <v>1.5247298533533395</v>
      </c>
      <c r="G11" s="663">
        <f>IF(F11&gt;0,F11*1/3,F11*2/3)</f>
        <v>0.50824328445111322</v>
      </c>
      <c r="H11" s="663">
        <f>G11+D11</f>
        <v>0.50824328445111322</v>
      </c>
    </row>
    <row r="12" spans="2:14">
      <c r="B12" s="703" t="s">
        <v>808</v>
      </c>
      <c r="C12" s="667">
        <f>SUM(C10:C11)</f>
        <v>6.3119298533533401</v>
      </c>
      <c r="D12" s="667">
        <f t="shared" ref="D12:H12" si="1">SUM(D10:D11)</f>
        <v>3.9119548000000002</v>
      </c>
      <c r="E12" s="667">
        <f t="shared" si="1"/>
        <v>6.3119298533533401</v>
      </c>
      <c r="F12" s="667">
        <f t="shared" si="1"/>
        <v>2.3999750533533399</v>
      </c>
      <c r="G12" s="667">
        <f t="shared" si="1"/>
        <v>0.79999168445111324</v>
      </c>
      <c r="H12" s="667">
        <f t="shared" si="1"/>
        <v>4.7119464844511141</v>
      </c>
    </row>
    <row r="15" spans="2:14" ht="16">
      <c r="K15" s="823" t="s">
        <v>226</v>
      </c>
      <c r="L15" s="823" t="s">
        <v>4</v>
      </c>
      <c r="M15" s="823" t="s">
        <v>213</v>
      </c>
      <c r="N15" s="823" t="s">
        <v>214</v>
      </c>
    </row>
    <row r="16" spans="2:14">
      <c r="K16" s="309">
        <v>1</v>
      </c>
      <c r="L16" s="761" t="s">
        <v>249</v>
      </c>
      <c r="M16" s="762">
        <f>'F5'!E13</f>
        <v>253.76301319000001</v>
      </c>
      <c r="N16" s="762">
        <f>M20</f>
        <v>224.98509144645999</v>
      </c>
    </row>
    <row r="17" spans="11:14">
      <c r="K17" s="309">
        <v>2</v>
      </c>
      <c r="L17" s="761" t="s">
        <v>250</v>
      </c>
      <c r="M17" s="762">
        <f>'F5'!E14</f>
        <v>0</v>
      </c>
      <c r="N17" s="762">
        <f>'F5'!H14</f>
        <v>1.0874999999999999E-3</v>
      </c>
    </row>
    <row r="18" spans="11:14">
      <c r="K18" s="309">
        <f t="shared" ref="K18:K27" si="2">K17+1</f>
        <v>3</v>
      </c>
      <c r="L18" s="761" t="s">
        <v>348</v>
      </c>
      <c r="M18" s="762">
        <f>'F5'!E15</f>
        <v>0.31889717999999995</v>
      </c>
      <c r="N18" s="762">
        <f>'F5'!H15</f>
        <v>8.322999999999999E-4</v>
      </c>
    </row>
    <row r="19" spans="11:14">
      <c r="K19" s="309">
        <f t="shared" si="2"/>
        <v>4</v>
      </c>
      <c r="L19" s="761" t="s">
        <v>251</v>
      </c>
      <c r="M19" s="762">
        <f>'F5'!E16</f>
        <v>29.096818923540006</v>
      </c>
      <c r="N19" s="762">
        <f>'F5'!H16</f>
        <v>29.10848367089001</v>
      </c>
    </row>
    <row r="20" spans="11:14">
      <c r="K20" s="309">
        <f t="shared" si="2"/>
        <v>5</v>
      </c>
      <c r="L20" s="761" t="s">
        <v>252</v>
      </c>
      <c r="M20" s="762">
        <f>M16-M17+M18-M19</f>
        <v>224.98509144645999</v>
      </c>
      <c r="N20" s="762">
        <f>N16-N17+N18-N19</f>
        <v>195.87635257556997</v>
      </c>
    </row>
    <row r="21" spans="11:14">
      <c r="K21" s="309">
        <f t="shared" si="2"/>
        <v>6</v>
      </c>
      <c r="L21" s="761" t="s">
        <v>349</v>
      </c>
      <c r="M21" s="762">
        <f>AVERAGE(M20,M16)</f>
        <v>239.37405231822999</v>
      </c>
      <c r="N21" s="762">
        <f>AVERAGE(N20,N16)</f>
        <v>210.43072201101498</v>
      </c>
    </row>
    <row r="22" spans="11:14">
      <c r="K22" s="309">
        <f t="shared" si="2"/>
        <v>7</v>
      </c>
      <c r="L22" s="761" t="s">
        <v>790</v>
      </c>
      <c r="M22" s="701">
        <v>0.106</v>
      </c>
      <c r="N22" s="701">
        <v>0.106</v>
      </c>
    </row>
    <row r="23" spans="11:14">
      <c r="K23" s="309">
        <f t="shared" si="2"/>
        <v>8</v>
      </c>
      <c r="L23" s="761" t="s">
        <v>791</v>
      </c>
      <c r="M23" s="762">
        <f>M21*M22</f>
        <v>25.373649545732377</v>
      </c>
      <c r="N23" s="762">
        <f>N21*N22</f>
        <v>22.305656533167586</v>
      </c>
    </row>
    <row r="24" spans="11:14">
      <c r="K24" s="309">
        <f t="shared" si="2"/>
        <v>9</v>
      </c>
      <c r="L24" s="761" t="s">
        <v>792</v>
      </c>
      <c r="M24" s="701">
        <f>'F5'!E20</f>
        <v>9.8132318170183461E-2</v>
      </c>
      <c r="N24" s="701">
        <f>'F5'!H20</f>
        <v>9.3083561643835633E-2</v>
      </c>
    </row>
    <row r="25" spans="11:14">
      <c r="K25" s="309">
        <f t="shared" si="2"/>
        <v>10</v>
      </c>
      <c r="L25" s="761" t="s">
        <v>791</v>
      </c>
      <c r="M25" s="762">
        <f>M21*M24</f>
        <v>23.490330663778686</v>
      </c>
      <c r="N25" s="762">
        <f>N21*N24</f>
        <v>19.587641084069151</v>
      </c>
    </row>
    <row r="26" spans="11:14">
      <c r="K26" s="309">
        <f t="shared" si="2"/>
        <v>11</v>
      </c>
      <c r="L26" s="761" t="s">
        <v>794</v>
      </c>
      <c r="M26" s="762">
        <f>M23-M25</f>
        <v>1.8833188819536915</v>
      </c>
      <c r="N26" s="762">
        <f>N23-N25</f>
        <v>2.7180154490984343</v>
      </c>
    </row>
    <row r="27" spans="11:14">
      <c r="K27" s="309">
        <f t="shared" si="2"/>
        <v>12</v>
      </c>
      <c r="L27" s="761" t="s">
        <v>843</v>
      </c>
      <c r="M27" s="835">
        <f>M26/3*1</f>
        <v>0.62777296065123045</v>
      </c>
      <c r="N27" s="835">
        <f>N26/3*1</f>
        <v>0.9060051496994781</v>
      </c>
    </row>
  </sheetData>
  <mergeCells count="2">
    <mergeCell ref="B3:H3"/>
    <mergeCell ref="B8:H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N40"/>
  <sheetViews>
    <sheetView showGridLines="0" view="pageBreakPreview" topLeftCell="A34" zoomScale="70" zoomScaleNormal="80" zoomScaleSheetLayoutView="70" workbookViewId="0">
      <selection activeCell="A34" sqref="A34"/>
    </sheetView>
  </sheetViews>
  <sheetFormatPr baseColWidth="10" defaultColWidth="9.1640625" defaultRowHeight="15"/>
  <cols>
    <col min="1" max="1" width="6.83203125" style="275" customWidth="1"/>
    <col min="2" max="2" width="7" style="275" customWidth="1"/>
    <col min="3" max="3" width="43.5" style="275" bestFit="1" customWidth="1"/>
    <col min="4" max="13" width="15.1640625" style="275" customWidth="1"/>
    <col min="14" max="14" width="11.5" style="275" hidden="1" customWidth="1"/>
    <col min="15" max="16384" width="9.1640625" style="275"/>
  </cols>
  <sheetData>
    <row r="2" spans="2:14" ht="18.5" customHeight="1">
      <c r="B2" s="1057" t="str">
        <f>Index!$B$2</f>
        <v>Jaigad Power Transco Ltd</v>
      </c>
      <c r="C2" s="1058"/>
      <c r="D2" s="1058"/>
      <c r="E2" s="1058"/>
      <c r="F2" s="1058"/>
      <c r="G2" s="1058"/>
      <c r="H2" s="1058"/>
      <c r="I2" s="1058"/>
      <c r="J2" s="1058"/>
      <c r="K2" s="1058"/>
      <c r="L2" s="1058"/>
      <c r="M2" s="1058"/>
      <c r="N2" s="1058"/>
    </row>
    <row r="3" spans="2:14" s="9" customFormat="1" ht="18.5" customHeight="1">
      <c r="B3" s="1059" t="s">
        <v>186</v>
      </c>
      <c r="C3" s="1058"/>
      <c r="D3" s="1058"/>
      <c r="E3" s="1058"/>
      <c r="F3" s="1058"/>
      <c r="G3" s="1058"/>
      <c r="H3" s="1058"/>
      <c r="I3" s="1058"/>
      <c r="J3" s="1058"/>
      <c r="K3" s="1058"/>
      <c r="L3" s="1058"/>
      <c r="M3" s="1058"/>
      <c r="N3" s="1058"/>
    </row>
    <row r="4" spans="2:14" s="9" customFormat="1" ht="18.5" customHeight="1">
      <c r="B4" s="1059" t="s">
        <v>99</v>
      </c>
      <c r="C4" s="1060"/>
      <c r="D4" s="1060"/>
      <c r="E4" s="1060"/>
      <c r="F4" s="1060"/>
      <c r="G4" s="1060"/>
      <c r="H4" s="1060"/>
      <c r="I4" s="1060"/>
      <c r="J4" s="1060"/>
      <c r="K4" s="1060"/>
      <c r="L4" s="1060"/>
      <c r="M4" s="1060"/>
      <c r="N4" s="1060"/>
    </row>
    <row r="7" spans="2:14" ht="16">
      <c r="B7" s="983" t="s">
        <v>226</v>
      </c>
      <c r="C7" s="983" t="s">
        <v>4</v>
      </c>
      <c r="D7" s="314" t="s">
        <v>26</v>
      </c>
      <c r="E7" s="314" t="s">
        <v>26</v>
      </c>
      <c r="F7" s="983" t="s">
        <v>551</v>
      </c>
      <c r="G7" s="983"/>
      <c r="H7" s="983"/>
      <c r="I7" s="1061" t="s">
        <v>86</v>
      </c>
      <c r="J7" s="1061"/>
      <c r="K7" s="1061"/>
      <c r="L7" s="1061"/>
      <c r="M7" s="1061"/>
      <c r="N7" s="983" t="s">
        <v>37</v>
      </c>
    </row>
    <row r="8" spans="2:14" ht="16">
      <c r="B8" s="983"/>
      <c r="C8" s="983"/>
      <c r="D8" s="314" t="s">
        <v>213</v>
      </c>
      <c r="E8" s="314" t="s">
        <v>214</v>
      </c>
      <c r="F8" s="314" t="s">
        <v>533</v>
      </c>
      <c r="G8" s="314" t="s">
        <v>534</v>
      </c>
      <c r="H8" s="314" t="s">
        <v>23</v>
      </c>
      <c r="I8" s="362" t="s">
        <v>540</v>
      </c>
      <c r="J8" s="362" t="s">
        <v>541</v>
      </c>
      <c r="K8" s="362" t="s">
        <v>542</v>
      </c>
      <c r="L8" s="362" t="s">
        <v>543</v>
      </c>
      <c r="M8" s="362" t="s">
        <v>544</v>
      </c>
      <c r="N8" s="983"/>
    </row>
    <row r="9" spans="2:14">
      <c r="B9" s="279"/>
      <c r="C9" s="280"/>
      <c r="D9" s="280"/>
      <c r="E9" s="280"/>
      <c r="F9" s="280"/>
      <c r="G9" s="280"/>
      <c r="H9" s="280"/>
      <c r="I9" s="280"/>
      <c r="J9" s="280"/>
      <c r="K9" s="280"/>
      <c r="L9" s="280"/>
      <c r="M9" s="280"/>
      <c r="N9" s="280"/>
    </row>
    <row r="10" spans="2:14">
      <c r="B10" s="399">
        <v>1</v>
      </c>
      <c r="C10" s="460" t="s">
        <v>331</v>
      </c>
      <c r="D10" s="460"/>
      <c r="E10" s="280"/>
      <c r="F10" s="280"/>
      <c r="G10" s="280"/>
      <c r="H10" s="280"/>
      <c r="I10" s="280"/>
      <c r="J10" s="280"/>
      <c r="K10" s="280"/>
      <c r="L10" s="280"/>
      <c r="M10" s="280"/>
      <c r="N10" s="280"/>
    </row>
    <row r="11" spans="2:14">
      <c r="B11" s="279">
        <v>1.1000000000000001</v>
      </c>
      <c r="C11" s="461" t="s">
        <v>100</v>
      </c>
      <c r="D11" s="461"/>
      <c r="E11" s="280"/>
      <c r="F11" s="280"/>
      <c r="G11" s="280"/>
      <c r="H11" s="280"/>
      <c r="I11" s="280"/>
      <c r="J11" s="280"/>
      <c r="K11" s="280"/>
      <c r="L11" s="280"/>
      <c r="M11" s="280"/>
      <c r="N11" s="280"/>
    </row>
    <row r="12" spans="2:14">
      <c r="B12" s="279">
        <v>1.2000000000000002</v>
      </c>
      <c r="C12" s="461" t="s">
        <v>231</v>
      </c>
      <c r="D12" s="461"/>
      <c r="E12" s="280"/>
      <c r="F12" s="280"/>
      <c r="G12" s="280"/>
      <c r="H12" s="280"/>
      <c r="I12" s="280"/>
      <c r="J12" s="280"/>
      <c r="K12" s="280"/>
      <c r="L12" s="280"/>
      <c r="M12" s="280"/>
      <c r="N12" s="280"/>
    </row>
    <row r="13" spans="2:14">
      <c r="B13" s="279">
        <v>1.3000000000000003</v>
      </c>
      <c r="C13" s="461" t="s">
        <v>232</v>
      </c>
      <c r="D13" s="628">
        <f>SUM(D14:D15)</f>
        <v>165</v>
      </c>
      <c r="E13" s="628">
        <f t="shared" ref="E13:M13" si="0">SUM(E14:E15)</f>
        <v>165</v>
      </c>
      <c r="F13" s="628">
        <f t="shared" si="0"/>
        <v>165</v>
      </c>
      <c r="G13" s="628">
        <f t="shared" si="0"/>
        <v>165</v>
      </c>
      <c r="H13" s="628">
        <f t="shared" si="0"/>
        <v>165</v>
      </c>
      <c r="I13" s="628">
        <f t="shared" si="0"/>
        <v>165</v>
      </c>
      <c r="J13" s="628">
        <f t="shared" si="0"/>
        <v>165</v>
      </c>
      <c r="K13" s="628">
        <f t="shared" si="0"/>
        <v>165</v>
      </c>
      <c r="L13" s="628">
        <f t="shared" si="0"/>
        <v>165</v>
      </c>
      <c r="M13" s="628">
        <f t="shared" si="0"/>
        <v>165</v>
      </c>
      <c r="N13" s="280"/>
    </row>
    <row r="14" spans="2:14">
      <c r="B14" s="279" t="s">
        <v>46</v>
      </c>
      <c r="C14" s="627" t="s">
        <v>765</v>
      </c>
      <c r="D14" s="628">
        <v>55</v>
      </c>
      <c r="E14" s="628">
        <v>55</v>
      </c>
      <c r="F14" s="628">
        <v>55</v>
      </c>
      <c r="G14" s="628">
        <v>55</v>
      </c>
      <c r="H14" s="628">
        <v>55</v>
      </c>
      <c r="I14" s="628">
        <v>55</v>
      </c>
      <c r="J14" s="628">
        <v>55</v>
      </c>
      <c r="K14" s="628">
        <v>55</v>
      </c>
      <c r="L14" s="628">
        <v>55</v>
      </c>
      <c r="M14" s="628">
        <v>55</v>
      </c>
      <c r="N14" s="280"/>
    </row>
    <row r="15" spans="2:14">
      <c r="B15" s="279" t="s">
        <v>47</v>
      </c>
      <c r="C15" s="627" t="s">
        <v>766</v>
      </c>
      <c r="D15" s="628">
        <v>110</v>
      </c>
      <c r="E15" s="628">
        <v>110</v>
      </c>
      <c r="F15" s="628">
        <v>110</v>
      </c>
      <c r="G15" s="628">
        <v>110</v>
      </c>
      <c r="H15" s="628">
        <v>110</v>
      </c>
      <c r="I15" s="628">
        <v>110</v>
      </c>
      <c r="J15" s="628">
        <v>110</v>
      </c>
      <c r="K15" s="628">
        <v>110</v>
      </c>
      <c r="L15" s="628">
        <v>110</v>
      </c>
      <c r="M15" s="628">
        <v>110</v>
      </c>
      <c r="N15" s="280"/>
    </row>
    <row r="16" spans="2:14">
      <c r="B16" s="279">
        <v>1.4000000000000004</v>
      </c>
      <c r="C16" s="461" t="s">
        <v>233</v>
      </c>
      <c r="D16" s="461"/>
      <c r="E16" s="280"/>
      <c r="F16" s="280"/>
      <c r="G16" s="280"/>
      <c r="H16" s="280"/>
      <c r="I16" s="280"/>
      <c r="J16" s="280"/>
      <c r="K16" s="280"/>
      <c r="L16" s="280"/>
      <c r="M16" s="280"/>
      <c r="N16" s="280"/>
    </row>
    <row r="17" spans="2:14">
      <c r="B17" s="279">
        <v>1.5000000000000004</v>
      </c>
      <c r="C17" s="461" t="s">
        <v>234</v>
      </c>
      <c r="D17" s="461"/>
      <c r="E17" s="280"/>
      <c r="F17" s="280"/>
      <c r="G17" s="280"/>
      <c r="H17" s="280"/>
      <c r="I17" s="280"/>
      <c r="J17" s="280"/>
      <c r="K17" s="280"/>
      <c r="L17" s="280"/>
      <c r="M17" s="280"/>
      <c r="N17" s="280"/>
    </row>
    <row r="18" spans="2:14">
      <c r="B18" s="399"/>
      <c r="C18" s="461"/>
      <c r="D18" s="461"/>
      <c r="E18" s="280"/>
      <c r="F18" s="280"/>
      <c r="G18" s="280"/>
      <c r="H18" s="280"/>
      <c r="I18" s="280"/>
      <c r="J18" s="280"/>
      <c r="K18" s="280"/>
      <c r="L18" s="280"/>
      <c r="M18" s="280"/>
      <c r="N18" s="280"/>
    </row>
    <row r="19" spans="2:14">
      <c r="B19" s="399">
        <v>2</v>
      </c>
      <c r="C19" s="460" t="s">
        <v>332</v>
      </c>
      <c r="D19" s="460"/>
      <c r="E19" s="280"/>
      <c r="F19" s="280"/>
      <c r="G19" s="280"/>
      <c r="H19" s="280"/>
      <c r="I19" s="280"/>
      <c r="J19" s="280"/>
      <c r="K19" s="280"/>
      <c r="L19" s="280"/>
      <c r="M19" s="280"/>
      <c r="N19" s="280"/>
    </row>
    <row r="20" spans="2:14">
      <c r="B20" s="279">
        <v>2.1</v>
      </c>
      <c r="C20" s="461" t="s">
        <v>100</v>
      </c>
      <c r="D20" s="461"/>
      <c r="E20" s="280"/>
      <c r="F20" s="280"/>
      <c r="G20" s="280"/>
      <c r="H20" s="280"/>
      <c r="I20" s="280"/>
      <c r="J20" s="280"/>
      <c r="K20" s="280"/>
      <c r="L20" s="280"/>
      <c r="M20" s="280"/>
      <c r="N20" s="280"/>
    </row>
    <row r="21" spans="2:14">
      <c r="B21" s="279">
        <v>2.2000000000000002</v>
      </c>
      <c r="C21" s="461" t="s">
        <v>231</v>
      </c>
      <c r="D21" s="461"/>
      <c r="E21" s="462"/>
      <c r="F21" s="280"/>
      <c r="G21" s="280"/>
      <c r="H21" s="280"/>
      <c r="I21" s="280"/>
      <c r="J21" s="280"/>
      <c r="K21" s="280"/>
      <c r="L21" s="280"/>
      <c r="M21" s="280"/>
      <c r="N21" s="280"/>
    </row>
    <row r="22" spans="2:14">
      <c r="B22" s="279">
        <v>2.3000000000000003</v>
      </c>
      <c r="C22" s="461" t="s">
        <v>232</v>
      </c>
      <c r="D22" s="461"/>
      <c r="E22" s="462"/>
      <c r="F22" s="280"/>
      <c r="G22" s="280"/>
      <c r="H22" s="280"/>
      <c r="I22" s="280"/>
      <c r="J22" s="280"/>
      <c r="K22" s="280"/>
      <c r="L22" s="280"/>
      <c r="M22" s="280"/>
      <c r="N22" s="280"/>
    </row>
    <row r="23" spans="2:14">
      <c r="B23" s="279">
        <v>2.4000000000000004</v>
      </c>
      <c r="C23" s="461" t="s">
        <v>235</v>
      </c>
      <c r="D23" s="461"/>
      <c r="E23" s="462"/>
      <c r="F23" s="280"/>
      <c r="G23" s="280"/>
      <c r="H23" s="280"/>
      <c r="I23" s="280"/>
      <c r="J23" s="280"/>
      <c r="K23" s="280"/>
      <c r="L23" s="280"/>
      <c r="M23" s="280"/>
      <c r="N23" s="280"/>
    </row>
    <row r="24" spans="2:14">
      <c r="B24" s="279">
        <v>2.5000000000000004</v>
      </c>
      <c r="C24" s="461" t="s">
        <v>236</v>
      </c>
      <c r="D24" s="461"/>
      <c r="E24" s="462"/>
      <c r="F24" s="280"/>
      <c r="G24" s="280"/>
      <c r="H24" s="280"/>
      <c r="I24" s="280"/>
      <c r="J24" s="280"/>
      <c r="K24" s="280"/>
      <c r="L24" s="280"/>
      <c r="M24" s="280"/>
      <c r="N24" s="280"/>
    </row>
    <row r="25" spans="2:14">
      <c r="B25" s="279">
        <v>2.6</v>
      </c>
      <c r="C25" s="461" t="s">
        <v>234</v>
      </c>
      <c r="D25" s="461"/>
      <c r="E25" s="462"/>
      <c r="F25" s="280"/>
      <c r="G25" s="280"/>
      <c r="H25" s="280"/>
      <c r="I25" s="280"/>
      <c r="J25" s="280"/>
      <c r="K25" s="280"/>
      <c r="L25" s="280"/>
      <c r="M25" s="280"/>
      <c r="N25" s="280"/>
    </row>
    <row r="26" spans="2:14">
      <c r="B26" s="399"/>
      <c r="C26" s="461"/>
      <c r="D26" s="461"/>
      <c r="E26" s="462"/>
      <c r="F26" s="280"/>
      <c r="G26" s="280"/>
      <c r="H26" s="280"/>
      <c r="I26" s="280"/>
      <c r="J26" s="280"/>
      <c r="K26" s="280"/>
      <c r="L26" s="280"/>
      <c r="M26" s="280"/>
      <c r="N26" s="280"/>
    </row>
    <row r="27" spans="2:14">
      <c r="B27" s="399">
        <v>3</v>
      </c>
      <c r="C27" s="460" t="s">
        <v>333</v>
      </c>
      <c r="D27" s="460"/>
      <c r="E27" s="462"/>
      <c r="F27" s="280"/>
      <c r="G27" s="280"/>
      <c r="H27" s="280"/>
      <c r="I27" s="280"/>
      <c r="J27" s="280"/>
      <c r="K27" s="280"/>
      <c r="L27" s="280"/>
      <c r="M27" s="280"/>
      <c r="N27" s="280"/>
    </row>
    <row r="28" spans="2:14">
      <c r="B28" s="279">
        <v>3.1</v>
      </c>
      <c r="C28" s="461" t="s">
        <v>231</v>
      </c>
      <c r="D28" s="461"/>
      <c r="E28" s="462"/>
      <c r="F28" s="280"/>
      <c r="G28" s="280"/>
      <c r="H28" s="280"/>
      <c r="I28" s="280"/>
      <c r="J28" s="280"/>
      <c r="K28" s="280"/>
      <c r="L28" s="280"/>
      <c r="M28" s="280"/>
      <c r="N28" s="280"/>
    </row>
    <row r="29" spans="2:14">
      <c r="B29" s="279">
        <v>3.2</v>
      </c>
      <c r="C29" s="461" t="s">
        <v>232</v>
      </c>
      <c r="D29" s="628">
        <v>4</v>
      </c>
      <c r="E29" s="628">
        <v>4</v>
      </c>
      <c r="F29" s="628">
        <v>4</v>
      </c>
      <c r="G29" s="628">
        <v>4</v>
      </c>
      <c r="H29" s="628">
        <v>4</v>
      </c>
      <c r="I29" s="628">
        <v>4</v>
      </c>
      <c r="J29" s="628">
        <v>4</v>
      </c>
      <c r="K29" s="628">
        <v>4</v>
      </c>
      <c r="L29" s="628">
        <v>4</v>
      </c>
      <c r="M29" s="628">
        <v>4</v>
      </c>
      <c r="N29" s="280"/>
    </row>
    <row r="30" spans="2:14">
      <c r="B30" s="279">
        <v>3.3000000000000003</v>
      </c>
      <c r="C30" s="461" t="s">
        <v>233</v>
      </c>
      <c r="D30" s="461"/>
      <c r="E30" s="463"/>
      <c r="F30" s="280"/>
      <c r="G30" s="280"/>
      <c r="H30" s="280"/>
      <c r="I30" s="280"/>
      <c r="J30" s="280"/>
      <c r="K30" s="280"/>
      <c r="L30" s="280"/>
      <c r="M30" s="280"/>
      <c r="N30" s="280"/>
    </row>
    <row r="31" spans="2:14">
      <c r="B31" s="279">
        <v>3.4000000000000004</v>
      </c>
      <c r="C31" s="461" t="s">
        <v>234</v>
      </c>
      <c r="D31" s="461"/>
      <c r="E31" s="463"/>
      <c r="F31" s="280"/>
      <c r="G31" s="280"/>
      <c r="H31" s="280"/>
      <c r="I31" s="280"/>
      <c r="J31" s="280"/>
      <c r="K31" s="280"/>
      <c r="L31" s="280"/>
      <c r="M31" s="280"/>
      <c r="N31" s="280"/>
    </row>
    <row r="32" spans="2:14">
      <c r="B32" s="399"/>
      <c r="C32" s="461"/>
      <c r="D32" s="461"/>
      <c r="E32" s="463"/>
      <c r="F32" s="280"/>
      <c r="G32" s="280"/>
      <c r="H32" s="280"/>
      <c r="I32" s="280"/>
      <c r="J32" s="280"/>
      <c r="K32" s="280"/>
      <c r="L32" s="280"/>
      <c r="M32" s="280"/>
      <c r="N32" s="280"/>
    </row>
    <row r="33" spans="2:14">
      <c r="B33" s="399">
        <v>4</v>
      </c>
      <c r="C33" s="460" t="s">
        <v>334</v>
      </c>
      <c r="D33" s="460"/>
      <c r="E33" s="463"/>
      <c r="F33" s="280"/>
      <c r="G33" s="280"/>
      <c r="H33" s="280"/>
      <c r="I33" s="280"/>
      <c r="J33" s="280"/>
      <c r="K33" s="280"/>
      <c r="L33" s="280"/>
      <c r="M33" s="280"/>
      <c r="N33" s="280"/>
    </row>
    <row r="34" spans="2:14">
      <c r="B34" s="279">
        <v>4.0999999999999996</v>
      </c>
      <c r="C34" s="461" t="s">
        <v>231</v>
      </c>
      <c r="D34" s="461"/>
      <c r="E34" s="280"/>
      <c r="F34" s="280"/>
      <c r="G34" s="280"/>
      <c r="H34" s="280"/>
      <c r="I34" s="280"/>
      <c r="J34" s="280"/>
      <c r="K34" s="280"/>
      <c r="L34" s="280"/>
      <c r="M34" s="280"/>
      <c r="N34" s="280"/>
    </row>
    <row r="35" spans="2:14">
      <c r="B35" s="279">
        <v>4.1999999999999993</v>
      </c>
      <c r="C35" s="461" t="s">
        <v>232</v>
      </c>
      <c r="D35" s="461"/>
      <c r="E35" s="280"/>
      <c r="F35" s="280"/>
      <c r="G35" s="280"/>
      <c r="H35" s="280"/>
      <c r="I35" s="280"/>
      <c r="J35" s="280"/>
      <c r="K35" s="280"/>
      <c r="L35" s="280"/>
      <c r="M35" s="280"/>
      <c r="N35" s="280"/>
    </row>
    <row r="36" spans="2:14">
      <c r="B36" s="279">
        <v>4.2999999999999989</v>
      </c>
      <c r="C36" s="461" t="s">
        <v>235</v>
      </c>
      <c r="D36" s="461"/>
      <c r="E36" s="280"/>
      <c r="F36" s="280"/>
      <c r="G36" s="280"/>
      <c r="H36" s="280"/>
      <c r="I36" s="280"/>
      <c r="J36" s="280"/>
      <c r="K36" s="280"/>
      <c r="L36" s="280"/>
      <c r="M36" s="280"/>
      <c r="N36" s="280"/>
    </row>
    <row r="37" spans="2:14">
      <c r="B37" s="279">
        <v>4.3999999999999986</v>
      </c>
      <c r="C37" s="461" t="s">
        <v>236</v>
      </c>
      <c r="D37" s="461"/>
      <c r="E37" s="280"/>
      <c r="F37" s="280"/>
      <c r="G37" s="280"/>
      <c r="H37" s="280"/>
      <c r="I37" s="280"/>
      <c r="J37" s="280"/>
      <c r="K37" s="280"/>
      <c r="L37" s="280"/>
      <c r="M37" s="280"/>
      <c r="N37" s="280"/>
    </row>
    <row r="38" spans="2:14">
      <c r="B38" s="279">
        <v>4.4999999999999982</v>
      </c>
      <c r="C38" s="461" t="s">
        <v>234</v>
      </c>
      <c r="D38" s="461"/>
      <c r="E38" s="280"/>
      <c r="F38" s="280"/>
      <c r="G38" s="280"/>
      <c r="H38" s="280"/>
      <c r="I38" s="280"/>
      <c r="J38" s="280"/>
      <c r="K38" s="280"/>
      <c r="L38" s="280"/>
      <c r="M38" s="280"/>
      <c r="N38" s="280"/>
    </row>
    <row r="40" spans="2:14">
      <c r="B40" s="275" t="s">
        <v>742</v>
      </c>
    </row>
  </sheetData>
  <mergeCells count="8">
    <mergeCell ref="B2:N2"/>
    <mergeCell ref="B3:N3"/>
    <mergeCell ref="B4:N4"/>
    <mergeCell ref="B7:B8"/>
    <mergeCell ref="C7:C8"/>
    <mergeCell ref="I7:M7"/>
    <mergeCell ref="N7:N8"/>
    <mergeCell ref="F7:H7"/>
  </mergeCells>
  <pageMargins left="0.43307086614173229" right="0.43307086614173229" top="0.43307086614173229" bottom="0.43307086614173229" header="0.31496062992125984" footer="0.31496062992125984"/>
  <pageSetup paperSize="9" scale="62" orientation="landscape" r:id="rId1"/>
  <headerFoot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81"/>
  <sheetViews>
    <sheetView showGridLines="0" view="pageBreakPreview" topLeftCell="A53" zoomScale="80" zoomScaleNormal="80" zoomScaleSheetLayoutView="80" workbookViewId="0">
      <selection activeCell="D73" sqref="D73"/>
    </sheetView>
  </sheetViews>
  <sheetFormatPr baseColWidth="10" defaultColWidth="8.83203125" defaultRowHeight="15"/>
  <cols>
    <col min="1" max="1" width="8.83203125" style="25"/>
    <col min="2" max="2" width="8.83203125" style="444"/>
    <col min="3" max="3" width="46.5" style="25" bestFit="1" customWidth="1"/>
    <col min="4" max="4" width="15.83203125" style="25" customWidth="1"/>
    <col min="5" max="5" width="14.6640625" style="25" customWidth="1"/>
    <col min="6" max="6" width="11.83203125" style="25" customWidth="1"/>
    <col min="7" max="7" width="14.6640625" style="25" customWidth="1"/>
    <col min="8" max="8" width="18.33203125" style="25" customWidth="1"/>
    <col min="9" max="9" width="13.83203125" style="25" customWidth="1"/>
    <col min="10" max="10" width="14.5" style="25" customWidth="1"/>
    <col min="11" max="16384" width="8.83203125" style="25"/>
  </cols>
  <sheetData>
    <row r="2" spans="2:8">
      <c r="B2" s="1062" t="str">
        <f>Index!$B$2</f>
        <v>Jaigad Power Transco Ltd</v>
      </c>
      <c r="C2" s="1062"/>
      <c r="D2" s="1062"/>
      <c r="E2" s="1062"/>
      <c r="F2" s="1062"/>
      <c r="G2" s="1062"/>
      <c r="H2" s="1062"/>
    </row>
    <row r="3" spans="2:8">
      <c r="B3" s="1063" t="s">
        <v>186</v>
      </c>
      <c r="C3" s="1063"/>
      <c r="D3" s="1063"/>
      <c r="E3" s="1063"/>
      <c r="F3" s="1063"/>
      <c r="G3" s="1063"/>
      <c r="H3" s="1063"/>
    </row>
    <row r="4" spans="2:8">
      <c r="B4" s="1064" t="s">
        <v>262</v>
      </c>
      <c r="C4" s="1064"/>
      <c r="D4" s="1064"/>
      <c r="E4" s="1064"/>
      <c r="F4" s="1064"/>
      <c r="G4" s="1064"/>
      <c r="H4" s="1064"/>
    </row>
    <row r="5" spans="2:8">
      <c r="B5" s="297"/>
      <c r="C5" s="444"/>
      <c r="D5" s="444"/>
      <c r="E5" s="444"/>
    </row>
    <row r="6" spans="2:8">
      <c r="B6" s="297"/>
      <c r="C6" s="444"/>
      <c r="D6" s="444"/>
      <c r="E6" s="444"/>
      <c r="H6" s="445" t="s">
        <v>33</v>
      </c>
    </row>
    <row r="7" spans="2:8" s="275" customFormat="1" ht="28.5" customHeight="1">
      <c r="B7" s="980" t="s">
        <v>226</v>
      </c>
      <c r="C7" s="985" t="s">
        <v>4</v>
      </c>
      <c r="D7" s="446" t="s">
        <v>213</v>
      </c>
      <c r="E7" s="447" t="s">
        <v>214</v>
      </c>
      <c r="F7" s="1065" t="s">
        <v>215</v>
      </c>
      <c r="G7" s="1061"/>
      <c r="H7" s="1061"/>
    </row>
    <row r="8" spans="2:8" s="275" customFormat="1" ht="39.75" customHeight="1">
      <c r="B8" s="981"/>
      <c r="C8" s="985"/>
      <c r="D8" s="314" t="s">
        <v>311</v>
      </c>
      <c r="E8" s="314" t="s">
        <v>311</v>
      </c>
      <c r="F8" s="314" t="s">
        <v>314</v>
      </c>
      <c r="G8" s="314" t="s">
        <v>315</v>
      </c>
      <c r="H8" s="314" t="s">
        <v>58</v>
      </c>
    </row>
    <row r="9" spans="2:8" s="275" customFormat="1" ht="21.75" customHeight="1">
      <c r="B9" s="998"/>
      <c r="C9" s="999"/>
      <c r="D9" s="314" t="s">
        <v>56</v>
      </c>
      <c r="E9" s="314" t="s">
        <v>57</v>
      </c>
      <c r="F9" s="314" t="s">
        <v>552</v>
      </c>
      <c r="G9" s="314" t="s">
        <v>553</v>
      </c>
      <c r="H9" s="314" t="s">
        <v>554</v>
      </c>
    </row>
    <row r="10" spans="2:8">
      <c r="B10" s="279">
        <v>1</v>
      </c>
      <c r="C10" s="448" t="s">
        <v>102</v>
      </c>
      <c r="D10" s="629">
        <v>0.31029399999999996</v>
      </c>
      <c r="E10" s="629">
        <v>0.25997009999999998</v>
      </c>
      <c r="F10" s="961">
        <v>0.21389830000000001</v>
      </c>
      <c r="G10" s="629">
        <f t="shared" ref="G10:G31" si="0">+F10</f>
        <v>0.21389830000000001</v>
      </c>
      <c r="H10" s="606">
        <f>SUM(F10:G10)</f>
        <v>0.42779660000000003</v>
      </c>
    </row>
    <row r="11" spans="2:8">
      <c r="B11" s="279">
        <v>2</v>
      </c>
      <c r="C11" s="448" t="s">
        <v>768</v>
      </c>
      <c r="D11" s="629">
        <v>0.2733332</v>
      </c>
      <c r="E11" s="629">
        <v>0.20162330000000001</v>
      </c>
      <c r="F11" s="961">
        <v>0.17925659999999999</v>
      </c>
      <c r="G11" s="629">
        <f t="shared" si="0"/>
        <v>0.17925659999999999</v>
      </c>
      <c r="H11" s="606">
        <f t="shared" ref="H11:H32" si="1">SUM(F11:G11)</f>
        <v>0.35851319999999998</v>
      </c>
    </row>
    <row r="12" spans="2:8">
      <c r="B12" s="279">
        <v>3</v>
      </c>
      <c r="C12" s="310" t="s">
        <v>103</v>
      </c>
      <c r="D12" s="629">
        <v>4.5760499999999996E-2</v>
      </c>
      <c r="E12" s="629">
        <v>3.4017199999999997E-2</v>
      </c>
      <c r="F12" s="961">
        <v>1.9786600000000001E-2</v>
      </c>
      <c r="G12" s="629">
        <f t="shared" si="0"/>
        <v>1.9786600000000001E-2</v>
      </c>
      <c r="H12" s="606">
        <f t="shared" si="1"/>
        <v>3.9573200000000003E-2</v>
      </c>
    </row>
    <row r="13" spans="2:8">
      <c r="B13" s="279">
        <v>4</v>
      </c>
      <c r="C13" s="448" t="s">
        <v>104</v>
      </c>
      <c r="D13" s="629">
        <v>9.7593900000000011E-2</v>
      </c>
      <c r="E13" s="629">
        <v>7.1269200000000005E-2</v>
      </c>
      <c r="F13" s="961">
        <v>5.64874E-2</v>
      </c>
      <c r="G13" s="629">
        <f t="shared" si="0"/>
        <v>5.64874E-2</v>
      </c>
      <c r="H13" s="606">
        <f t="shared" si="1"/>
        <v>0.1129748</v>
      </c>
    </row>
    <row r="14" spans="2:8">
      <c r="B14" s="279">
        <v>5</v>
      </c>
      <c r="C14" s="448" t="s">
        <v>105</v>
      </c>
      <c r="D14" s="629">
        <v>2.0834999999999999E-2</v>
      </c>
      <c r="E14" s="629">
        <v>2.4676500000000001E-2</v>
      </c>
      <c r="F14" s="961">
        <v>1.58038E-2</v>
      </c>
      <c r="G14" s="629">
        <f t="shared" si="0"/>
        <v>1.58038E-2</v>
      </c>
      <c r="H14" s="606">
        <f t="shared" si="1"/>
        <v>3.16076E-2</v>
      </c>
    </row>
    <row r="15" spans="2:8">
      <c r="B15" s="279">
        <v>6</v>
      </c>
      <c r="C15" s="310" t="s">
        <v>106</v>
      </c>
      <c r="D15" s="629">
        <v>1.16163E-2</v>
      </c>
      <c r="E15" s="629">
        <v>4.3643700000000001E-2</v>
      </c>
      <c r="F15" s="961">
        <v>3.2771700000000001E-2</v>
      </c>
      <c r="G15" s="629">
        <f t="shared" si="0"/>
        <v>3.2771700000000001E-2</v>
      </c>
      <c r="H15" s="606">
        <f t="shared" si="1"/>
        <v>6.5543400000000002E-2</v>
      </c>
    </row>
    <row r="16" spans="2:8">
      <c r="B16" s="279">
        <v>7</v>
      </c>
      <c r="C16" s="448" t="s">
        <v>107</v>
      </c>
      <c r="D16" s="629">
        <v>1.10431E-2</v>
      </c>
      <c r="E16" s="629">
        <v>0</v>
      </c>
      <c r="F16" s="961">
        <v>0</v>
      </c>
      <c r="G16" s="629">
        <f t="shared" si="0"/>
        <v>0</v>
      </c>
      <c r="H16" s="606">
        <f t="shared" si="1"/>
        <v>0</v>
      </c>
    </row>
    <row r="17" spans="2:8">
      <c r="B17" s="279">
        <v>8</v>
      </c>
      <c r="C17" s="448" t="s">
        <v>108</v>
      </c>
      <c r="D17" s="629">
        <v>1.6311600000000002E-2</v>
      </c>
      <c r="E17" s="629">
        <v>2.1662799999999999E-2</v>
      </c>
      <c r="F17" s="961">
        <v>1.78245E-2</v>
      </c>
      <c r="G17" s="629">
        <f t="shared" si="0"/>
        <v>1.78245E-2</v>
      </c>
      <c r="H17" s="606">
        <f t="shared" si="1"/>
        <v>3.5649E-2</v>
      </c>
    </row>
    <row r="18" spans="2:8">
      <c r="B18" s="279">
        <v>9</v>
      </c>
      <c r="C18" s="448" t="s">
        <v>109</v>
      </c>
      <c r="D18" s="629">
        <v>0</v>
      </c>
      <c r="E18" s="629">
        <v>0</v>
      </c>
      <c r="F18" s="961">
        <v>0</v>
      </c>
      <c r="G18" s="629">
        <f t="shared" si="0"/>
        <v>0</v>
      </c>
      <c r="H18" s="606">
        <f t="shared" si="1"/>
        <v>0</v>
      </c>
    </row>
    <row r="19" spans="2:8">
      <c r="B19" s="279">
        <v>10</v>
      </c>
      <c r="C19" s="448" t="s">
        <v>110</v>
      </c>
      <c r="D19" s="629">
        <v>0.25457150000000001</v>
      </c>
      <c r="E19" s="629">
        <v>0.25267809999999996</v>
      </c>
      <c r="F19" s="961">
        <v>0.21651719999999999</v>
      </c>
      <c r="G19" s="629">
        <f t="shared" si="0"/>
        <v>0.21651719999999999</v>
      </c>
      <c r="H19" s="606">
        <f t="shared" si="1"/>
        <v>0.43303439999999999</v>
      </c>
    </row>
    <row r="20" spans="2:8">
      <c r="B20" s="279">
        <v>11</v>
      </c>
      <c r="C20" s="448" t="s">
        <v>111</v>
      </c>
      <c r="D20" s="629">
        <v>0</v>
      </c>
      <c r="E20" s="629">
        <v>0</v>
      </c>
      <c r="F20" s="961">
        <v>0</v>
      </c>
      <c r="G20" s="629">
        <f t="shared" si="0"/>
        <v>0</v>
      </c>
      <c r="H20" s="606">
        <f t="shared" si="1"/>
        <v>0</v>
      </c>
    </row>
    <row r="21" spans="2:8">
      <c r="B21" s="279">
        <v>12</v>
      </c>
      <c r="C21" s="448" t="s">
        <v>112</v>
      </c>
      <c r="D21" s="629">
        <v>0</v>
      </c>
      <c r="E21" s="629">
        <v>2E-3</v>
      </c>
      <c r="F21" s="961">
        <v>1.2459000000000001E-3</v>
      </c>
      <c r="G21" s="629">
        <f t="shared" si="0"/>
        <v>1.2459000000000001E-3</v>
      </c>
      <c r="H21" s="606">
        <f t="shared" si="1"/>
        <v>2.4918000000000002E-3</v>
      </c>
    </row>
    <row r="22" spans="2:8">
      <c r="B22" s="279">
        <v>13</v>
      </c>
      <c r="C22" s="448" t="s">
        <v>113</v>
      </c>
      <c r="D22" s="629">
        <v>0</v>
      </c>
      <c r="E22" s="629">
        <v>0</v>
      </c>
      <c r="F22" s="961">
        <v>0</v>
      </c>
      <c r="G22" s="629">
        <f t="shared" si="0"/>
        <v>0</v>
      </c>
      <c r="H22" s="606">
        <f t="shared" si="1"/>
        <v>0</v>
      </c>
    </row>
    <row r="23" spans="2:8">
      <c r="B23" s="279">
        <v>14</v>
      </c>
      <c r="C23" s="448" t="s">
        <v>114</v>
      </c>
      <c r="D23" s="629">
        <v>0</v>
      </c>
      <c r="E23" s="629">
        <v>0</v>
      </c>
      <c r="F23" s="961">
        <v>0</v>
      </c>
      <c r="G23" s="629">
        <f t="shared" si="0"/>
        <v>0</v>
      </c>
      <c r="H23" s="606">
        <f t="shared" si="1"/>
        <v>0</v>
      </c>
    </row>
    <row r="24" spans="2:8">
      <c r="B24" s="279">
        <v>15</v>
      </c>
      <c r="C24" s="448" t="s">
        <v>115</v>
      </c>
      <c r="D24" s="629">
        <v>0</v>
      </c>
      <c r="E24" s="629">
        <v>0</v>
      </c>
      <c r="F24" s="961">
        <v>0</v>
      </c>
      <c r="G24" s="629">
        <f t="shared" si="0"/>
        <v>0</v>
      </c>
      <c r="H24" s="606">
        <f t="shared" si="1"/>
        <v>0</v>
      </c>
    </row>
    <row r="25" spans="2:8">
      <c r="B25" s="279">
        <v>16</v>
      </c>
      <c r="C25" s="448" t="s">
        <v>116</v>
      </c>
      <c r="D25" s="629">
        <v>0</v>
      </c>
      <c r="E25" s="629">
        <v>0</v>
      </c>
      <c r="F25" s="961">
        <v>0</v>
      </c>
      <c r="G25" s="629">
        <f t="shared" si="0"/>
        <v>0</v>
      </c>
      <c r="H25" s="606">
        <f t="shared" si="1"/>
        <v>0</v>
      </c>
    </row>
    <row r="26" spans="2:8">
      <c r="B26" s="279">
        <v>17</v>
      </c>
      <c r="C26" s="448" t="s">
        <v>117</v>
      </c>
      <c r="D26" s="629">
        <v>0</v>
      </c>
      <c r="E26" s="629">
        <v>0</v>
      </c>
      <c r="F26" s="961">
        <v>0</v>
      </c>
      <c r="G26" s="629">
        <f t="shared" si="0"/>
        <v>0</v>
      </c>
      <c r="H26" s="606">
        <f t="shared" si="1"/>
        <v>0</v>
      </c>
    </row>
    <row r="27" spans="2:8">
      <c r="B27" s="279">
        <v>18</v>
      </c>
      <c r="C27" s="448" t="s">
        <v>769</v>
      </c>
      <c r="D27" s="629">
        <v>1.4324099999999999E-2</v>
      </c>
      <c r="E27" s="629">
        <v>2.1180999999999999E-3</v>
      </c>
      <c r="F27" s="961">
        <v>9.5636999999999996E-3</v>
      </c>
      <c r="G27" s="629">
        <f t="shared" si="0"/>
        <v>9.5636999999999996E-3</v>
      </c>
      <c r="H27" s="606">
        <f t="shared" si="1"/>
        <v>1.9127399999999999E-2</v>
      </c>
    </row>
    <row r="28" spans="2:8">
      <c r="B28" s="279">
        <f>+B27+0.1</f>
        <v>18.100000000000001</v>
      </c>
      <c r="C28" s="448" t="s">
        <v>118</v>
      </c>
      <c r="D28" s="629">
        <v>3.7234200000000002E-2</v>
      </c>
      <c r="E28" s="629">
        <v>3.1584099999999997E-2</v>
      </c>
      <c r="F28" s="961">
        <v>2.6738399999999999E-2</v>
      </c>
      <c r="G28" s="629">
        <f t="shared" si="0"/>
        <v>2.6738399999999999E-2</v>
      </c>
      <c r="H28" s="606">
        <f t="shared" si="1"/>
        <v>5.3476799999999998E-2</v>
      </c>
    </row>
    <row r="29" spans="2:8">
      <c r="B29" s="279">
        <f>+B28+0.1</f>
        <v>18.200000000000003</v>
      </c>
      <c r="C29" s="448" t="s">
        <v>119</v>
      </c>
      <c r="D29" s="629">
        <v>0</v>
      </c>
      <c r="E29" s="629">
        <v>0</v>
      </c>
      <c r="F29" s="961">
        <v>0</v>
      </c>
      <c r="G29" s="629">
        <f t="shared" si="0"/>
        <v>0</v>
      </c>
      <c r="H29" s="606">
        <f t="shared" si="1"/>
        <v>0</v>
      </c>
    </row>
    <row r="30" spans="2:8">
      <c r="B30" s="279">
        <f>+B29+0.1</f>
        <v>18.300000000000004</v>
      </c>
      <c r="C30" s="448" t="s">
        <v>120</v>
      </c>
      <c r="D30" s="629">
        <v>0</v>
      </c>
      <c r="E30" s="629">
        <v>0</v>
      </c>
      <c r="F30" s="961">
        <v>0</v>
      </c>
      <c r="G30" s="629">
        <f t="shared" si="0"/>
        <v>0</v>
      </c>
      <c r="H30" s="606">
        <f t="shared" si="1"/>
        <v>0</v>
      </c>
    </row>
    <row r="31" spans="2:8">
      <c r="B31" s="279">
        <f>+B30+0.1</f>
        <v>18.400000000000006</v>
      </c>
      <c r="C31" s="448" t="s">
        <v>121</v>
      </c>
      <c r="D31" s="629">
        <v>1.30178E-2</v>
      </c>
      <c r="E31" s="629">
        <v>3.9875800000000003E-2</v>
      </c>
      <c r="F31" s="961">
        <v>1.04574E-2</v>
      </c>
      <c r="G31" s="629">
        <f t="shared" si="0"/>
        <v>1.04574E-2</v>
      </c>
      <c r="H31" s="606">
        <f t="shared" si="1"/>
        <v>2.0914800000000001E-2</v>
      </c>
    </row>
    <row r="32" spans="2:8">
      <c r="B32" s="279">
        <v>19</v>
      </c>
      <c r="C32" s="448" t="s">
        <v>767</v>
      </c>
      <c r="D32" s="629">
        <v>0</v>
      </c>
      <c r="E32" s="629">
        <v>1.3521499999999999E-2</v>
      </c>
      <c r="F32" s="961">
        <v>1.34456E-2</v>
      </c>
      <c r="G32" s="629">
        <f>+F32</f>
        <v>1.34456E-2</v>
      </c>
      <c r="H32" s="606">
        <f t="shared" si="1"/>
        <v>2.6891200000000001E-2</v>
      </c>
    </row>
    <row r="33" spans="2:10">
      <c r="B33" s="399">
        <v>20</v>
      </c>
      <c r="C33" s="318" t="s">
        <v>122</v>
      </c>
      <c r="D33" s="630">
        <f>SUM(D10:D32)</f>
        <v>1.1059352000000002</v>
      </c>
      <c r="E33" s="630">
        <f t="shared" ref="E33:H33" si="2">SUM(E10:E32)</f>
        <v>0.99864039999999987</v>
      </c>
      <c r="F33" s="630">
        <f t="shared" si="2"/>
        <v>0.81379709999999983</v>
      </c>
      <c r="G33" s="630">
        <f t="shared" si="2"/>
        <v>0.81379709999999983</v>
      </c>
      <c r="H33" s="630">
        <f t="shared" si="2"/>
        <v>1.6275941999999997</v>
      </c>
    </row>
    <row r="34" spans="2:10">
      <c r="B34" s="279">
        <v>21</v>
      </c>
      <c r="C34" s="448" t="s">
        <v>38</v>
      </c>
      <c r="D34" s="448"/>
      <c r="E34" s="280"/>
      <c r="F34" s="280"/>
      <c r="G34" s="280"/>
      <c r="H34" s="280"/>
    </row>
    <row r="35" spans="2:10">
      <c r="B35" s="399">
        <v>21</v>
      </c>
      <c r="C35" s="290" t="s">
        <v>123</v>
      </c>
      <c r="D35" s="607">
        <f>D33-D34</f>
        <v>1.1059352000000002</v>
      </c>
      <c r="E35" s="607">
        <f t="shared" ref="E35:H35" si="3">E33-E34</f>
        <v>0.99864039999999987</v>
      </c>
      <c r="F35" s="607">
        <f t="shared" si="3"/>
        <v>0.81379709999999983</v>
      </c>
      <c r="G35" s="607">
        <f t="shared" si="3"/>
        <v>0.81379709999999983</v>
      </c>
      <c r="H35" s="607">
        <f t="shared" si="3"/>
        <v>1.6275941999999997</v>
      </c>
    </row>
    <row r="37" spans="2:10">
      <c r="B37" s="377" t="s">
        <v>335</v>
      </c>
      <c r="C37" s="275"/>
      <c r="D37" s="275"/>
      <c r="E37" s="275"/>
      <c r="F37" s="275"/>
      <c r="G37" s="275"/>
    </row>
    <row r="38" spans="2:10">
      <c r="B38" s="275"/>
      <c r="C38" s="275"/>
      <c r="D38" s="275"/>
      <c r="E38" s="275"/>
      <c r="F38" s="275"/>
      <c r="G38" s="275"/>
      <c r="H38" s="445" t="s">
        <v>620</v>
      </c>
    </row>
    <row r="39" spans="2:10" s="275" customFormat="1" ht="28.5" customHeight="1">
      <c r="B39" s="980" t="s">
        <v>226</v>
      </c>
      <c r="C39" s="985" t="s">
        <v>4</v>
      </c>
      <c r="D39" s="446" t="s">
        <v>213</v>
      </c>
      <c r="E39" s="447" t="s">
        <v>214</v>
      </c>
      <c r="F39" s="1065" t="s">
        <v>215</v>
      </c>
      <c r="G39" s="1061"/>
      <c r="H39" s="1061"/>
    </row>
    <row r="40" spans="2:10" s="275" customFormat="1" ht="32">
      <c r="B40" s="981"/>
      <c r="C40" s="985"/>
      <c r="D40" s="314" t="s">
        <v>311</v>
      </c>
      <c r="E40" s="314" t="s">
        <v>311</v>
      </c>
      <c r="F40" s="314" t="s">
        <v>314</v>
      </c>
      <c r="G40" s="314" t="s">
        <v>315</v>
      </c>
      <c r="H40" s="314" t="s">
        <v>58</v>
      </c>
    </row>
    <row r="41" spans="2:10" s="275" customFormat="1" ht="21.75" customHeight="1">
      <c r="B41" s="998"/>
      <c r="C41" s="999"/>
      <c r="D41" s="314" t="s">
        <v>56</v>
      </c>
      <c r="E41" s="314" t="s">
        <v>57</v>
      </c>
      <c r="F41" s="314" t="s">
        <v>552</v>
      </c>
      <c r="G41" s="314" t="s">
        <v>553</v>
      </c>
      <c r="H41" s="314" t="s">
        <v>554</v>
      </c>
    </row>
    <row r="42" spans="2:10">
      <c r="B42" s="280"/>
      <c r="C42" s="280"/>
      <c r="D42" s="280"/>
      <c r="E42" s="280"/>
      <c r="F42" s="280"/>
      <c r="G42" s="280"/>
      <c r="H42" s="280"/>
      <c r="I42" s="275"/>
      <c r="J42" s="275"/>
    </row>
    <row r="43" spans="2:10">
      <c r="B43" s="399" t="s">
        <v>55</v>
      </c>
      <c r="C43" s="290" t="s">
        <v>336</v>
      </c>
      <c r="D43" s="290"/>
      <c r="E43" s="290"/>
      <c r="F43" s="290"/>
      <c r="G43" s="280"/>
      <c r="H43" s="280"/>
      <c r="I43" s="275"/>
      <c r="J43" s="275"/>
    </row>
    <row r="44" spans="2:10" ht="16">
      <c r="B44" s="454">
        <v>1</v>
      </c>
      <c r="C44" s="455" t="s">
        <v>337</v>
      </c>
      <c r="D44" s="632">
        <v>6</v>
      </c>
      <c r="E44" s="632">
        <v>4</v>
      </c>
      <c r="F44" s="632">
        <v>5</v>
      </c>
      <c r="G44" s="632">
        <v>5</v>
      </c>
      <c r="H44" s="632">
        <v>5</v>
      </c>
      <c r="I44" s="275"/>
      <c r="J44" s="275"/>
    </row>
    <row r="45" spans="2:10" ht="16">
      <c r="B45" s="454">
        <v>2</v>
      </c>
      <c r="C45" s="455" t="s">
        <v>338</v>
      </c>
      <c r="D45" s="632">
        <v>0</v>
      </c>
      <c r="E45" s="632">
        <v>0</v>
      </c>
      <c r="F45" s="632">
        <v>0</v>
      </c>
      <c r="G45" s="632">
        <v>0</v>
      </c>
      <c r="H45" s="632">
        <v>0</v>
      </c>
      <c r="I45" s="275"/>
      <c r="J45" s="275"/>
    </row>
    <row r="46" spans="2:10" ht="16">
      <c r="B46" s="454">
        <v>3</v>
      </c>
      <c r="C46" s="455" t="s">
        <v>339</v>
      </c>
      <c r="D46" s="632">
        <v>0</v>
      </c>
      <c r="E46" s="632">
        <v>1</v>
      </c>
      <c r="F46" s="632">
        <v>1</v>
      </c>
      <c r="G46" s="632">
        <v>1</v>
      </c>
      <c r="H46" s="632">
        <v>1</v>
      </c>
      <c r="I46" s="275"/>
      <c r="J46" s="275"/>
    </row>
    <row r="47" spans="2:10" ht="16">
      <c r="B47" s="454">
        <v>4</v>
      </c>
      <c r="C47" s="455" t="s">
        <v>340</v>
      </c>
      <c r="D47" s="632">
        <v>1</v>
      </c>
      <c r="E47" s="632">
        <v>1</v>
      </c>
      <c r="F47" s="632">
        <v>1</v>
      </c>
      <c r="G47" s="632">
        <v>1</v>
      </c>
      <c r="H47" s="632">
        <v>1</v>
      </c>
      <c r="I47" s="275"/>
      <c r="J47" s="275"/>
    </row>
    <row r="48" spans="2:10">
      <c r="B48" s="454"/>
      <c r="C48" s="455"/>
      <c r="D48" s="455"/>
      <c r="E48" s="455"/>
      <c r="F48" s="455"/>
      <c r="G48" s="280"/>
      <c r="H48" s="280"/>
      <c r="I48" s="275"/>
      <c r="J48" s="275"/>
    </row>
    <row r="49" spans="2:10" ht="16">
      <c r="B49" s="456" t="s">
        <v>54</v>
      </c>
      <c r="C49" s="457" t="s">
        <v>341</v>
      </c>
      <c r="D49" s="457"/>
      <c r="E49" s="457"/>
      <c r="F49" s="457"/>
      <c r="G49" s="280"/>
      <c r="H49" s="280"/>
      <c r="I49" s="275"/>
      <c r="J49" s="275"/>
    </row>
    <row r="50" spans="2:10" ht="16">
      <c r="B50" s="454">
        <v>5</v>
      </c>
      <c r="C50" s="457" t="s">
        <v>337</v>
      </c>
      <c r="D50" s="457"/>
      <c r="E50" s="457"/>
      <c r="F50" s="457"/>
      <c r="G50" s="280"/>
      <c r="H50" s="280"/>
      <c r="I50" s="275"/>
      <c r="J50" s="275"/>
    </row>
    <row r="51" spans="2:10" ht="16">
      <c r="B51" s="454">
        <f>+B50+0.1</f>
        <v>5.0999999999999996</v>
      </c>
      <c r="C51" s="455" t="s">
        <v>342</v>
      </c>
      <c r="D51" s="632">
        <v>2</v>
      </c>
      <c r="E51" s="632">
        <v>2</v>
      </c>
      <c r="F51" s="632">
        <v>2</v>
      </c>
      <c r="G51" s="632">
        <v>2</v>
      </c>
      <c r="H51" s="632">
        <v>2</v>
      </c>
      <c r="I51" s="275"/>
      <c r="J51" s="275"/>
    </row>
    <row r="52" spans="2:10" ht="16">
      <c r="B52" s="454">
        <f>+B51+0.1</f>
        <v>5.1999999999999993</v>
      </c>
      <c r="C52" s="455" t="s">
        <v>343</v>
      </c>
      <c r="D52" s="632">
        <v>2</v>
      </c>
      <c r="E52" s="632">
        <v>1</v>
      </c>
      <c r="F52" s="632">
        <v>1</v>
      </c>
      <c r="G52" s="632">
        <v>1</v>
      </c>
      <c r="H52" s="632">
        <v>1</v>
      </c>
      <c r="I52" s="275"/>
      <c r="J52" s="275"/>
    </row>
    <row r="53" spans="2:10" ht="16">
      <c r="B53" s="454">
        <f>+B52+0.1</f>
        <v>5.2999999999999989</v>
      </c>
      <c r="C53" s="455" t="s">
        <v>344</v>
      </c>
      <c r="D53" s="632">
        <v>2</v>
      </c>
      <c r="E53" s="632">
        <v>1</v>
      </c>
      <c r="F53" s="632">
        <v>2</v>
      </c>
      <c r="G53" s="632">
        <v>2</v>
      </c>
      <c r="H53" s="632">
        <v>2</v>
      </c>
      <c r="I53" s="275"/>
      <c r="J53" s="275"/>
    </row>
    <row r="54" spans="2:10" ht="16">
      <c r="B54" s="454">
        <f>+B53+0.1</f>
        <v>5.3999999999999986</v>
      </c>
      <c r="C54" s="455" t="s">
        <v>345</v>
      </c>
      <c r="D54" s="632">
        <v>0</v>
      </c>
      <c r="E54" s="632">
        <v>0</v>
      </c>
      <c r="F54" s="632">
        <v>0</v>
      </c>
      <c r="G54" s="632">
        <v>0</v>
      </c>
      <c r="H54" s="632">
        <v>0</v>
      </c>
      <c r="I54" s="275"/>
      <c r="J54" s="275"/>
    </row>
    <row r="55" spans="2:10">
      <c r="B55" s="454"/>
      <c r="C55" s="455"/>
      <c r="D55" s="455"/>
      <c r="E55" s="455"/>
      <c r="F55" s="455"/>
      <c r="G55" s="280"/>
      <c r="H55" s="280"/>
      <c r="I55" s="275"/>
      <c r="J55" s="275"/>
    </row>
    <row r="56" spans="2:10" ht="16">
      <c r="B56" s="454">
        <v>6</v>
      </c>
      <c r="C56" s="457" t="s">
        <v>338</v>
      </c>
      <c r="D56" s="457"/>
      <c r="E56" s="457"/>
      <c r="F56" s="457"/>
      <c r="G56" s="280"/>
      <c r="H56" s="280"/>
      <c r="I56" s="275"/>
      <c r="J56" s="275"/>
    </row>
    <row r="57" spans="2:10" ht="16">
      <c r="B57" s="454">
        <f>+B56+0.1</f>
        <v>6.1</v>
      </c>
      <c r="C57" s="455" t="s">
        <v>342</v>
      </c>
      <c r="D57" s="632">
        <v>0</v>
      </c>
      <c r="E57" s="632">
        <v>0</v>
      </c>
      <c r="F57" s="632">
        <v>0</v>
      </c>
      <c r="G57" s="632">
        <v>0</v>
      </c>
      <c r="H57" s="632">
        <v>0</v>
      </c>
      <c r="I57" s="275"/>
      <c r="J57" s="275"/>
    </row>
    <row r="58" spans="2:10" ht="16">
      <c r="B58" s="454">
        <f>+B57+0.1</f>
        <v>6.1999999999999993</v>
      </c>
      <c r="C58" s="455" t="s">
        <v>343</v>
      </c>
      <c r="D58" s="632">
        <v>0</v>
      </c>
      <c r="E58" s="632">
        <v>0</v>
      </c>
      <c r="F58" s="632">
        <v>0</v>
      </c>
      <c r="G58" s="632">
        <v>0</v>
      </c>
      <c r="H58" s="632">
        <v>0</v>
      </c>
      <c r="I58" s="275"/>
      <c r="J58" s="275"/>
    </row>
    <row r="59" spans="2:10" ht="16">
      <c r="B59" s="454">
        <f>+B58+0.1</f>
        <v>6.2999999999999989</v>
      </c>
      <c r="C59" s="455" t="s">
        <v>344</v>
      </c>
      <c r="D59" s="632">
        <v>0</v>
      </c>
      <c r="E59" s="632">
        <v>0</v>
      </c>
      <c r="F59" s="632">
        <v>0</v>
      </c>
      <c r="G59" s="632">
        <v>0</v>
      </c>
      <c r="H59" s="632">
        <v>0</v>
      </c>
      <c r="I59" s="275"/>
      <c r="J59" s="275"/>
    </row>
    <row r="60" spans="2:10" ht="16">
      <c r="B60" s="454">
        <f>+B59+0.1</f>
        <v>6.3999999999999986</v>
      </c>
      <c r="C60" s="455" t="s">
        <v>345</v>
      </c>
      <c r="D60" s="632">
        <v>0</v>
      </c>
      <c r="E60" s="632">
        <v>0</v>
      </c>
      <c r="F60" s="632">
        <v>0</v>
      </c>
      <c r="G60" s="632">
        <v>0</v>
      </c>
      <c r="H60" s="632">
        <v>0</v>
      </c>
      <c r="I60" s="275"/>
      <c r="J60" s="275"/>
    </row>
    <row r="61" spans="2:10">
      <c r="B61" s="454"/>
      <c r="C61" s="455"/>
      <c r="D61" s="455"/>
      <c r="E61" s="455"/>
      <c r="F61" s="455"/>
      <c r="G61" s="22"/>
      <c r="H61" s="280"/>
      <c r="I61" s="275"/>
      <c r="J61" s="275"/>
    </row>
    <row r="62" spans="2:10" ht="16">
      <c r="B62" s="454">
        <v>7</v>
      </c>
      <c r="C62" s="457" t="s">
        <v>339</v>
      </c>
      <c r="D62" s="457"/>
      <c r="E62" s="457"/>
      <c r="F62" s="457"/>
      <c r="G62" s="22"/>
      <c r="H62" s="280"/>
      <c r="I62" s="275"/>
      <c r="J62" s="275"/>
    </row>
    <row r="63" spans="2:10" ht="16">
      <c r="B63" s="454">
        <f>+B62+0.1</f>
        <v>7.1</v>
      </c>
      <c r="C63" s="455" t="s">
        <v>342</v>
      </c>
      <c r="D63" s="632">
        <v>0</v>
      </c>
      <c r="E63" s="632">
        <v>0</v>
      </c>
      <c r="F63" s="632">
        <v>0</v>
      </c>
      <c r="G63" s="632">
        <v>0</v>
      </c>
      <c r="H63" s="632">
        <v>0</v>
      </c>
      <c r="I63" s="275"/>
      <c r="J63" s="275"/>
    </row>
    <row r="64" spans="2:10" ht="16">
      <c r="B64" s="454">
        <f>+B63+0.1</f>
        <v>7.1999999999999993</v>
      </c>
      <c r="C64" s="455" t="s">
        <v>343</v>
      </c>
      <c r="D64" s="632">
        <v>0</v>
      </c>
      <c r="E64" s="632">
        <v>0</v>
      </c>
      <c r="F64" s="632">
        <v>0</v>
      </c>
      <c r="G64" s="632">
        <v>0</v>
      </c>
      <c r="H64" s="632">
        <v>0</v>
      </c>
      <c r="I64" s="275"/>
      <c r="J64" s="275"/>
    </row>
    <row r="65" spans="2:10" ht="16">
      <c r="B65" s="454">
        <f>+B64+0.1</f>
        <v>7.2999999999999989</v>
      </c>
      <c r="C65" s="455" t="s">
        <v>344</v>
      </c>
      <c r="D65" s="632">
        <v>0</v>
      </c>
      <c r="E65" s="632">
        <v>1</v>
      </c>
      <c r="F65" s="632">
        <v>1</v>
      </c>
      <c r="G65" s="632">
        <v>1</v>
      </c>
      <c r="H65" s="632">
        <v>1</v>
      </c>
      <c r="I65" s="275"/>
      <c r="J65" s="275"/>
    </row>
    <row r="66" spans="2:10" ht="16">
      <c r="B66" s="454">
        <f>+B65+0.1</f>
        <v>7.3999999999999986</v>
      </c>
      <c r="C66" s="455" t="s">
        <v>345</v>
      </c>
      <c r="D66" s="632">
        <v>0</v>
      </c>
      <c r="E66" s="632">
        <v>0</v>
      </c>
      <c r="F66" s="632">
        <v>0</v>
      </c>
      <c r="G66" s="632">
        <v>0</v>
      </c>
      <c r="H66" s="632">
        <v>0</v>
      </c>
      <c r="I66" s="275"/>
      <c r="J66" s="275"/>
    </row>
    <row r="67" spans="2:10">
      <c r="B67" s="454"/>
      <c r="C67" s="455"/>
      <c r="D67" s="455"/>
      <c r="E67" s="455"/>
      <c r="F67" s="455"/>
      <c r="G67" s="22"/>
      <c r="H67" s="280"/>
      <c r="I67" s="275"/>
      <c r="J67" s="275"/>
    </row>
    <row r="68" spans="2:10" ht="16">
      <c r="B68" s="454">
        <v>8</v>
      </c>
      <c r="C68" s="457" t="s">
        <v>346</v>
      </c>
      <c r="D68" s="457"/>
      <c r="E68" s="457"/>
      <c r="F68" s="457"/>
      <c r="G68" s="280"/>
      <c r="H68" s="280"/>
      <c r="I68" s="275"/>
      <c r="J68" s="275"/>
    </row>
    <row r="69" spans="2:10" ht="16">
      <c r="B69" s="454">
        <f>+B68+0.1</f>
        <v>8.1</v>
      </c>
      <c r="C69" s="455" t="s">
        <v>342</v>
      </c>
      <c r="D69" s="632">
        <v>1</v>
      </c>
      <c r="E69" s="632">
        <v>1</v>
      </c>
      <c r="F69" s="632">
        <v>1</v>
      </c>
      <c r="G69" s="632">
        <v>1</v>
      </c>
      <c r="H69" s="632">
        <v>1</v>
      </c>
      <c r="I69" s="275"/>
      <c r="J69" s="275"/>
    </row>
    <row r="70" spans="2:10" ht="16">
      <c r="B70" s="454">
        <f>+B69+0.1</f>
        <v>8.1999999999999993</v>
      </c>
      <c r="C70" s="455" t="s">
        <v>343</v>
      </c>
      <c r="D70" s="632">
        <v>0</v>
      </c>
      <c r="E70" s="632">
        <v>0</v>
      </c>
      <c r="F70" s="632">
        <v>0</v>
      </c>
      <c r="G70" s="632">
        <v>0</v>
      </c>
      <c r="H70" s="632">
        <v>0</v>
      </c>
      <c r="I70" s="275"/>
      <c r="J70" s="275"/>
    </row>
    <row r="71" spans="2:10" ht="16">
      <c r="B71" s="454">
        <f>+B70+0.1</f>
        <v>8.2999999999999989</v>
      </c>
      <c r="C71" s="455" t="s">
        <v>344</v>
      </c>
      <c r="D71" s="632">
        <v>0</v>
      </c>
      <c r="E71" s="632">
        <v>0</v>
      </c>
      <c r="F71" s="632">
        <v>0</v>
      </c>
      <c r="G71" s="632">
        <v>0</v>
      </c>
      <c r="H71" s="632">
        <v>0</v>
      </c>
      <c r="I71" s="275"/>
      <c r="J71" s="275"/>
    </row>
    <row r="72" spans="2:10" ht="16">
      <c r="B72" s="454">
        <f>+B71+0.1</f>
        <v>8.3999999999999986</v>
      </c>
      <c r="C72" s="455" t="s">
        <v>345</v>
      </c>
      <c r="D72" s="632">
        <v>0</v>
      </c>
      <c r="E72" s="632">
        <v>0</v>
      </c>
      <c r="F72" s="632">
        <v>0</v>
      </c>
      <c r="G72" s="632">
        <v>0</v>
      </c>
      <c r="H72" s="632">
        <v>0</v>
      </c>
      <c r="I72" s="275"/>
      <c r="J72" s="275"/>
    </row>
    <row r="73" spans="2:10">
      <c r="B73" s="458"/>
      <c r="C73" s="459" t="s">
        <v>347</v>
      </c>
      <c r="D73" s="633">
        <f>SUM(D51:D72)</f>
        <v>7</v>
      </c>
      <c r="E73" s="633">
        <f>SUM(E51:E72)</f>
        <v>6</v>
      </c>
      <c r="F73" s="633">
        <f>SUM(F51:F72)</f>
        <v>7</v>
      </c>
      <c r="G73" s="633">
        <f>SUM(G51:G72)</f>
        <v>7</v>
      </c>
      <c r="H73" s="633">
        <f>SUM(H51:H72)</f>
        <v>7</v>
      </c>
      <c r="I73" s="275"/>
      <c r="J73" s="275"/>
    </row>
    <row r="74" spans="2:10">
      <c r="I74" s="275"/>
      <c r="J74" s="275"/>
    </row>
    <row r="75" spans="2:10">
      <c r="I75" s="275"/>
      <c r="J75" s="275"/>
    </row>
    <row r="76" spans="2:10">
      <c r="I76" s="275"/>
      <c r="J76" s="275"/>
    </row>
    <row r="77" spans="2:10">
      <c r="I77" s="275"/>
      <c r="J77" s="275"/>
    </row>
    <row r="78" spans="2:10">
      <c r="I78" s="275"/>
      <c r="J78" s="275"/>
    </row>
    <row r="79" spans="2:10">
      <c r="I79" s="275"/>
      <c r="J79" s="275"/>
    </row>
    <row r="80" spans="2:10">
      <c r="I80" s="275"/>
      <c r="J80" s="275"/>
    </row>
    <row r="81" spans="9:10">
      <c r="I81" s="275"/>
      <c r="J81" s="275"/>
    </row>
  </sheetData>
  <mergeCells count="9">
    <mergeCell ref="B2:H2"/>
    <mergeCell ref="B3:H3"/>
    <mergeCell ref="B4:H4"/>
    <mergeCell ref="B39:B41"/>
    <mergeCell ref="C39:C41"/>
    <mergeCell ref="F39:H39"/>
    <mergeCell ref="F7:H7"/>
    <mergeCell ref="B7:B9"/>
    <mergeCell ref="C7:C9"/>
  </mergeCells>
  <pageMargins left="0.43307086614173229" right="0.43307086614173229" top="0.43307086614173229" bottom="0.43307086614173229" header="0.31496062992125984" footer="0.31496062992125984"/>
  <pageSetup paperSize="9" scale="85" fitToWidth="2" fitToHeight="2" orientation="landscape" r:id="rId1"/>
  <headerFooter>
    <oddFooter>&amp;CPage. &amp;P</oddFooter>
  </headerFooter>
  <rowBreaks count="1" manualBreakCount="1">
    <brk id="36"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L40"/>
  <sheetViews>
    <sheetView showGridLines="0" view="pageBreakPreview" topLeftCell="A42" zoomScale="80" zoomScaleNormal="80" zoomScaleSheetLayoutView="80" workbookViewId="0">
      <selection activeCell="A70" sqref="A70"/>
    </sheetView>
  </sheetViews>
  <sheetFormatPr baseColWidth="10" defaultColWidth="8.83203125" defaultRowHeight="15"/>
  <cols>
    <col min="1" max="1" width="8.83203125" style="25"/>
    <col min="2" max="2" width="8.83203125" style="444"/>
    <col min="3" max="3" width="50.1640625" style="25" bestFit="1" customWidth="1"/>
    <col min="4" max="4" width="13.5" style="25" customWidth="1"/>
    <col min="5" max="5" width="16.5" style="25" customWidth="1"/>
    <col min="6" max="7" width="13.5" style="25" customWidth="1"/>
    <col min="8" max="8" width="15.83203125" style="25" customWidth="1"/>
    <col min="9" max="9" width="13.1640625" style="25" customWidth="1"/>
    <col min="10" max="10" width="12.5" style="25" customWidth="1"/>
    <col min="11" max="11" width="15.33203125" style="25" customWidth="1"/>
    <col min="12" max="12" width="20.33203125" style="25" customWidth="1"/>
    <col min="13" max="16384" width="8.83203125" style="25"/>
  </cols>
  <sheetData>
    <row r="2" spans="2:12">
      <c r="B2" s="1066" t="str">
        <f>Index!$B$2</f>
        <v>Jaigad Power Transco Ltd</v>
      </c>
      <c r="C2" s="1066"/>
      <c r="D2" s="1066"/>
      <c r="E2" s="1066"/>
      <c r="F2" s="1066"/>
      <c r="G2" s="1066"/>
      <c r="H2" s="1066"/>
    </row>
    <row r="3" spans="2:12">
      <c r="B3" s="1063" t="s">
        <v>186</v>
      </c>
      <c r="C3" s="1063"/>
      <c r="D3" s="1063"/>
      <c r="E3" s="1063"/>
      <c r="F3" s="1063"/>
      <c r="G3" s="1063"/>
      <c r="H3" s="1063"/>
    </row>
    <row r="4" spans="2:12">
      <c r="B4" s="1064" t="s">
        <v>263</v>
      </c>
      <c r="C4" s="1064"/>
      <c r="D4" s="1064"/>
      <c r="E4" s="1064"/>
      <c r="F4" s="1064"/>
      <c r="G4" s="1064"/>
      <c r="H4" s="1064"/>
    </row>
    <row r="5" spans="2:12">
      <c r="B5" s="297"/>
      <c r="C5" s="444"/>
      <c r="D5" s="444"/>
      <c r="E5" s="444"/>
      <c r="F5" s="444"/>
      <c r="G5" s="444"/>
      <c r="H5" s="444"/>
    </row>
    <row r="6" spans="2:12">
      <c r="B6" s="297"/>
      <c r="C6" s="444"/>
      <c r="D6" s="444"/>
      <c r="E6" s="444"/>
      <c r="H6" s="445" t="s">
        <v>33</v>
      </c>
      <c r="L6" s="451"/>
    </row>
    <row r="7" spans="2:12" s="361" customFormat="1" ht="16">
      <c r="B7" s="983" t="s">
        <v>226</v>
      </c>
      <c r="C7" s="983" t="s">
        <v>4</v>
      </c>
      <c r="D7" s="446" t="s">
        <v>213</v>
      </c>
      <c r="E7" s="447" t="s">
        <v>214</v>
      </c>
      <c r="F7" s="1065" t="s">
        <v>215</v>
      </c>
      <c r="G7" s="1061"/>
      <c r="H7" s="1061"/>
    </row>
    <row r="8" spans="2:12" s="361" customFormat="1" ht="39.75" customHeight="1">
      <c r="B8" s="983"/>
      <c r="C8" s="983"/>
      <c r="D8" s="314" t="s">
        <v>311</v>
      </c>
      <c r="E8" s="314" t="s">
        <v>311</v>
      </c>
      <c r="F8" s="314" t="s">
        <v>314</v>
      </c>
      <c r="G8" s="314" t="s">
        <v>315</v>
      </c>
      <c r="H8" s="314" t="s">
        <v>58</v>
      </c>
    </row>
    <row r="9" spans="2:12" s="361" customFormat="1" ht="24.75" customHeight="1">
      <c r="B9" s="983"/>
      <c r="C9" s="983"/>
      <c r="D9" s="314" t="s">
        <v>56</v>
      </c>
      <c r="E9" s="314" t="s">
        <v>57</v>
      </c>
      <c r="F9" s="314" t="s">
        <v>552</v>
      </c>
      <c r="G9" s="314" t="s">
        <v>553</v>
      </c>
      <c r="H9" s="314" t="s">
        <v>554</v>
      </c>
    </row>
    <row r="10" spans="2:12" ht="16">
      <c r="B10" s="279">
        <v>1</v>
      </c>
      <c r="C10" s="452" t="s">
        <v>124</v>
      </c>
      <c r="D10" s="636">
        <v>0.19472809999999999</v>
      </c>
      <c r="E10" s="636">
        <v>0.13007360000000001</v>
      </c>
      <c r="F10" s="962">
        <v>3.4224973687152938E-2</v>
      </c>
      <c r="G10" s="636">
        <f>+F10</f>
        <v>3.4224973687152938E-2</v>
      </c>
      <c r="H10" s="637">
        <f>SUM(F10:G10)</f>
        <v>6.8449947374305875E-2</v>
      </c>
      <c r="I10" s="361"/>
      <c r="J10" s="361"/>
      <c r="K10" s="361"/>
      <c r="L10" s="361"/>
    </row>
    <row r="11" spans="2:12">
      <c r="B11" s="279">
        <v>2</v>
      </c>
      <c r="C11" s="449" t="s">
        <v>125</v>
      </c>
      <c r="D11" s="636">
        <v>3.5940899999999998E-2</v>
      </c>
      <c r="E11" s="636">
        <v>3.5663E-2</v>
      </c>
      <c r="F11" s="962">
        <v>2.04832E-2</v>
      </c>
      <c r="G11" s="636">
        <v>1.9614650000000001E-2</v>
      </c>
      <c r="H11" s="637">
        <f t="shared" ref="H11:H36" si="0">SUM(F11:G11)</f>
        <v>4.0097850000000004E-2</v>
      </c>
      <c r="I11" s="361"/>
      <c r="J11" s="361"/>
      <c r="K11" s="361"/>
      <c r="L11" s="361"/>
    </row>
    <row r="12" spans="2:12">
      <c r="B12" s="279">
        <v>3</v>
      </c>
      <c r="C12" s="449" t="s">
        <v>126</v>
      </c>
      <c r="D12" s="636">
        <v>8.133399999999999E-3</v>
      </c>
      <c r="E12" s="636">
        <v>6.1856999999999997E-3</v>
      </c>
      <c r="F12" s="962">
        <v>4.1770000000000002E-3</v>
      </c>
      <c r="G12" s="636">
        <v>3.4021350000000001E-3</v>
      </c>
      <c r="H12" s="637">
        <f t="shared" si="0"/>
        <v>7.5791350000000007E-3</v>
      </c>
      <c r="I12" s="361"/>
      <c r="J12" s="361"/>
      <c r="K12" s="361"/>
      <c r="L12" s="361"/>
    </row>
    <row r="13" spans="2:12">
      <c r="B13" s="279">
        <v>4</v>
      </c>
      <c r="C13" s="449" t="s">
        <v>127</v>
      </c>
      <c r="D13" s="636">
        <v>0.22675890000000001</v>
      </c>
      <c r="E13" s="636">
        <v>8.8499999999999995E-2</v>
      </c>
      <c r="F13" s="962">
        <v>4.4249999999999998E-2</v>
      </c>
      <c r="G13" s="636">
        <v>4.8675000000000003E-2</v>
      </c>
      <c r="H13" s="637">
        <f t="shared" si="0"/>
        <v>9.2925000000000008E-2</v>
      </c>
      <c r="I13" s="361"/>
      <c r="J13" s="361"/>
      <c r="K13" s="361"/>
      <c r="L13" s="361"/>
    </row>
    <row r="14" spans="2:12">
      <c r="B14" s="279">
        <v>5</v>
      </c>
      <c r="C14" s="449" t="s">
        <v>128</v>
      </c>
      <c r="D14" s="636">
        <v>0.31066769999999999</v>
      </c>
      <c r="E14" s="636">
        <v>0.24606130000000001</v>
      </c>
      <c r="F14" s="962">
        <v>0.19528129999999999</v>
      </c>
      <c r="G14" s="636">
        <v>0.2</v>
      </c>
      <c r="H14" s="637">
        <f t="shared" si="0"/>
        <v>0.3952813</v>
      </c>
      <c r="I14" s="361"/>
      <c r="J14" s="361"/>
      <c r="K14" s="361"/>
      <c r="L14" s="361"/>
    </row>
    <row r="15" spans="2:12">
      <c r="B15" s="279">
        <v>6</v>
      </c>
      <c r="C15" s="449" t="s">
        <v>129</v>
      </c>
      <c r="D15" s="636">
        <v>0</v>
      </c>
      <c r="E15" s="636">
        <v>0</v>
      </c>
      <c r="F15" s="962">
        <v>0</v>
      </c>
      <c r="G15" s="636">
        <v>0</v>
      </c>
      <c r="H15" s="637">
        <f t="shared" si="0"/>
        <v>0</v>
      </c>
      <c r="I15" s="361"/>
      <c r="J15" s="361"/>
      <c r="K15" s="361"/>
      <c r="L15" s="361"/>
    </row>
    <row r="16" spans="2:12">
      <c r="B16" s="279">
        <v>7</v>
      </c>
      <c r="C16" s="449" t="s">
        <v>130</v>
      </c>
      <c r="D16" s="636">
        <v>1.0145999999999999E-2</v>
      </c>
      <c r="E16" s="636">
        <v>9.3519999999999992E-3</v>
      </c>
      <c r="F16" s="962">
        <v>5.705E-3</v>
      </c>
      <c r="G16" s="636">
        <v>5.1435999999999999E-3</v>
      </c>
      <c r="H16" s="637">
        <f t="shared" si="0"/>
        <v>1.08486E-2</v>
      </c>
      <c r="I16" s="361"/>
      <c r="J16" s="361"/>
      <c r="K16" s="361"/>
      <c r="L16" s="361"/>
    </row>
    <row r="17" spans="2:12">
      <c r="B17" s="279">
        <v>8</v>
      </c>
      <c r="C17" s="449" t="s">
        <v>131</v>
      </c>
      <c r="D17" s="636">
        <v>0</v>
      </c>
      <c r="E17" s="636">
        <v>0</v>
      </c>
      <c r="F17" s="962">
        <v>0</v>
      </c>
      <c r="G17" s="636">
        <v>0</v>
      </c>
      <c r="H17" s="637">
        <f t="shared" si="0"/>
        <v>0</v>
      </c>
      <c r="I17" s="361"/>
      <c r="J17" s="361"/>
      <c r="K17" s="361"/>
      <c r="L17" s="361"/>
    </row>
    <row r="18" spans="2:12">
      <c r="B18" s="279">
        <v>9</v>
      </c>
      <c r="C18" s="449" t="s">
        <v>132</v>
      </c>
      <c r="D18" s="636">
        <v>6.5237500000000004E-2</v>
      </c>
      <c r="E18" s="636">
        <v>8.6013800000000001E-2</v>
      </c>
      <c r="F18" s="962">
        <v>3.96824E-2</v>
      </c>
      <c r="G18" s="636">
        <v>4.7307590000000004E-2</v>
      </c>
      <c r="H18" s="637">
        <f t="shared" si="0"/>
        <v>8.6989990000000003E-2</v>
      </c>
      <c r="I18" s="361"/>
      <c r="J18" s="361"/>
      <c r="K18" s="361"/>
      <c r="L18" s="361"/>
    </row>
    <row r="19" spans="2:12">
      <c r="B19" s="279">
        <v>10</v>
      </c>
      <c r="C19" s="449" t="s">
        <v>133</v>
      </c>
      <c r="D19" s="636">
        <v>0</v>
      </c>
      <c r="E19" s="636">
        <v>0</v>
      </c>
      <c r="F19" s="962">
        <v>0</v>
      </c>
      <c r="G19" s="636">
        <v>0</v>
      </c>
      <c r="H19" s="637">
        <f t="shared" si="0"/>
        <v>0</v>
      </c>
      <c r="I19" s="361"/>
      <c r="J19" s="361"/>
      <c r="K19" s="361"/>
      <c r="L19" s="361"/>
    </row>
    <row r="20" spans="2:12">
      <c r="B20" s="279">
        <v>11</v>
      </c>
      <c r="C20" s="449" t="s">
        <v>134</v>
      </c>
      <c r="D20" s="636">
        <v>1.2928E-3</v>
      </c>
      <c r="E20" s="636">
        <v>0</v>
      </c>
      <c r="F20" s="962">
        <v>0</v>
      </c>
      <c r="G20" s="636">
        <v>0</v>
      </c>
      <c r="H20" s="637">
        <f t="shared" si="0"/>
        <v>0</v>
      </c>
      <c r="I20" s="361"/>
      <c r="J20" s="361"/>
      <c r="K20" s="361"/>
      <c r="L20" s="361"/>
    </row>
    <row r="21" spans="2:12">
      <c r="B21" s="279">
        <v>12</v>
      </c>
      <c r="C21" s="449" t="s">
        <v>135</v>
      </c>
      <c r="D21" s="636">
        <v>0</v>
      </c>
      <c r="E21" s="636">
        <v>0</v>
      </c>
      <c r="F21" s="962">
        <v>0</v>
      </c>
      <c r="G21" s="636">
        <v>0</v>
      </c>
      <c r="H21" s="637">
        <f t="shared" si="0"/>
        <v>0</v>
      </c>
      <c r="I21" s="361"/>
      <c r="J21" s="361"/>
      <c r="K21" s="361"/>
      <c r="L21" s="361"/>
    </row>
    <row r="22" spans="2:12">
      <c r="B22" s="279">
        <v>13</v>
      </c>
      <c r="C22" s="449" t="s">
        <v>136</v>
      </c>
      <c r="D22" s="636">
        <v>9.1489999999999996E-4</v>
      </c>
      <c r="E22" s="636">
        <v>0</v>
      </c>
      <c r="F22" s="962">
        <v>5.285E-4</v>
      </c>
      <c r="G22" s="636">
        <f>+F22</f>
        <v>5.285E-4</v>
      </c>
      <c r="H22" s="637">
        <f t="shared" si="0"/>
        <v>1.057E-3</v>
      </c>
      <c r="I22" s="361"/>
      <c r="J22" s="361"/>
      <c r="K22" s="361"/>
      <c r="L22" s="361"/>
    </row>
    <row r="23" spans="2:12">
      <c r="B23" s="279">
        <v>14</v>
      </c>
      <c r="C23" s="449" t="s">
        <v>137</v>
      </c>
      <c r="D23" s="636">
        <v>0.34533380000000002</v>
      </c>
      <c r="E23" s="636">
        <v>0</v>
      </c>
      <c r="F23" s="962">
        <v>0</v>
      </c>
      <c r="G23" s="636">
        <v>0.34606013000000002</v>
      </c>
      <c r="H23" s="637">
        <f t="shared" si="0"/>
        <v>0.34606013000000002</v>
      </c>
      <c r="I23" s="361"/>
      <c r="J23" s="361"/>
      <c r="K23" s="361"/>
      <c r="L23" s="361"/>
    </row>
    <row r="24" spans="2:12">
      <c r="B24" s="279">
        <v>15</v>
      </c>
      <c r="C24" s="453" t="s">
        <v>138</v>
      </c>
      <c r="D24" s="636">
        <v>0</v>
      </c>
      <c r="E24" s="636">
        <v>0</v>
      </c>
      <c r="F24" s="962">
        <v>0</v>
      </c>
      <c r="G24" s="636">
        <v>0</v>
      </c>
      <c r="H24" s="637">
        <f t="shared" si="0"/>
        <v>0</v>
      </c>
      <c r="I24" s="361"/>
      <c r="J24" s="361"/>
      <c r="K24" s="361"/>
      <c r="L24" s="361"/>
    </row>
    <row r="25" spans="2:12">
      <c r="B25" s="279">
        <v>16</v>
      </c>
      <c r="C25" s="453" t="s">
        <v>770</v>
      </c>
      <c r="D25" s="636">
        <v>0</v>
      </c>
      <c r="E25" s="636">
        <v>6.6029999999999995E-4</v>
      </c>
      <c r="F25" s="962">
        <v>0</v>
      </c>
      <c r="G25" s="636">
        <v>0</v>
      </c>
      <c r="H25" s="637">
        <f t="shared" si="0"/>
        <v>0</v>
      </c>
      <c r="I25" s="635"/>
      <c r="J25" s="361"/>
      <c r="K25" s="361"/>
      <c r="L25" s="361"/>
    </row>
    <row r="26" spans="2:12" ht="16">
      <c r="B26" s="279">
        <v>17</v>
      </c>
      <c r="C26" s="452" t="s">
        <v>139</v>
      </c>
      <c r="D26" s="636">
        <v>0.10020000000000001</v>
      </c>
      <c r="E26" s="636">
        <v>0.1002</v>
      </c>
      <c r="F26" s="962">
        <v>5.0099999999999999E-2</v>
      </c>
      <c r="G26" s="636">
        <v>5.5110000000000006E-2</v>
      </c>
      <c r="H26" s="637">
        <f t="shared" si="0"/>
        <v>0.10521</v>
      </c>
      <c r="I26" s="361" t="s">
        <v>613</v>
      </c>
      <c r="J26" s="361"/>
      <c r="K26" s="361"/>
      <c r="L26" s="361"/>
    </row>
    <row r="27" spans="2:12">
      <c r="B27" s="279">
        <v>18</v>
      </c>
      <c r="C27" s="449" t="s">
        <v>140</v>
      </c>
      <c r="D27" s="636">
        <v>0</v>
      </c>
      <c r="E27" s="636">
        <v>0</v>
      </c>
      <c r="F27" s="962">
        <v>0</v>
      </c>
      <c r="G27" s="636">
        <v>0</v>
      </c>
      <c r="H27" s="637">
        <f t="shared" si="0"/>
        <v>0</v>
      </c>
      <c r="I27" s="361"/>
      <c r="J27" s="361"/>
      <c r="K27" s="361"/>
      <c r="L27" s="361"/>
    </row>
    <row r="28" spans="2:12">
      <c r="B28" s="279">
        <v>19</v>
      </c>
      <c r="C28" s="449" t="s">
        <v>141</v>
      </c>
      <c r="D28" s="636">
        <v>0.2293885</v>
      </c>
      <c r="E28" s="636">
        <v>0.18993399999999999</v>
      </c>
      <c r="F28" s="962">
        <v>9.5649399999999996E-2</v>
      </c>
      <c r="G28" s="636">
        <v>0.10446370000000001</v>
      </c>
      <c r="H28" s="637">
        <f t="shared" si="0"/>
        <v>0.20011309999999999</v>
      </c>
      <c r="I28" s="361"/>
      <c r="J28" s="361"/>
      <c r="K28" s="361"/>
      <c r="L28" s="361"/>
    </row>
    <row r="29" spans="2:12">
      <c r="B29" s="279">
        <v>20</v>
      </c>
      <c r="C29" s="449" t="s">
        <v>771</v>
      </c>
      <c r="D29" s="636">
        <v>0.13876579999999999</v>
      </c>
      <c r="E29" s="636">
        <v>9.1643600000000006E-2</v>
      </c>
      <c r="F29" s="962">
        <v>4.73354E-2</v>
      </c>
      <c r="G29" s="636">
        <v>5.0403980000000008E-2</v>
      </c>
      <c r="H29" s="637">
        <f t="shared" si="0"/>
        <v>9.7739380000000015E-2</v>
      </c>
      <c r="I29" s="361"/>
      <c r="J29" s="361"/>
      <c r="K29" s="361"/>
      <c r="L29" s="361"/>
    </row>
    <row r="30" spans="2:12">
      <c r="B30" s="279">
        <v>21</v>
      </c>
      <c r="C30" s="449" t="s">
        <v>142</v>
      </c>
      <c r="D30" s="636">
        <v>0</v>
      </c>
      <c r="E30" s="636">
        <v>0</v>
      </c>
      <c r="F30" s="962">
        <v>0</v>
      </c>
      <c r="G30" s="636">
        <v>0</v>
      </c>
      <c r="H30" s="637">
        <f t="shared" si="0"/>
        <v>0</v>
      </c>
      <c r="I30" s="361"/>
      <c r="J30" s="361"/>
      <c r="K30" s="361"/>
      <c r="L30" s="361"/>
    </row>
    <row r="31" spans="2:12">
      <c r="B31" s="279">
        <v>22</v>
      </c>
      <c r="C31" s="449" t="s">
        <v>143</v>
      </c>
      <c r="D31" s="636">
        <v>0</v>
      </c>
      <c r="E31" s="636">
        <v>0</v>
      </c>
      <c r="F31" s="962">
        <v>0</v>
      </c>
      <c r="G31" s="636">
        <v>0</v>
      </c>
      <c r="H31" s="637">
        <f t="shared" si="0"/>
        <v>0</v>
      </c>
      <c r="I31" s="361"/>
      <c r="J31" s="361"/>
      <c r="K31" s="361"/>
      <c r="L31" s="361"/>
    </row>
    <row r="32" spans="2:12">
      <c r="B32" s="279">
        <v>23</v>
      </c>
      <c r="C32" s="449" t="s">
        <v>144</v>
      </c>
      <c r="D32" s="636">
        <v>0</v>
      </c>
      <c r="E32" s="636">
        <v>0</v>
      </c>
      <c r="F32" s="962">
        <v>0</v>
      </c>
      <c r="G32" s="636">
        <v>0</v>
      </c>
      <c r="H32" s="637">
        <f t="shared" si="0"/>
        <v>0</v>
      </c>
      <c r="I32" s="361"/>
      <c r="J32" s="361"/>
      <c r="K32" s="361"/>
      <c r="L32" s="361"/>
    </row>
    <row r="33" spans="2:12">
      <c r="B33" s="279">
        <v>24</v>
      </c>
      <c r="C33" s="449" t="s">
        <v>145</v>
      </c>
      <c r="D33" s="636">
        <v>5.3554999999999998E-2</v>
      </c>
      <c r="E33" s="636">
        <v>1.20085E-2</v>
      </c>
      <c r="F33" s="962">
        <v>2.4884E-3</v>
      </c>
      <c r="G33" s="636">
        <v>6.6046750000000008E-3</v>
      </c>
      <c r="H33" s="637">
        <f t="shared" si="0"/>
        <v>9.0930750000000008E-3</v>
      </c>
      <c r="I33" s="361"/>
      <c r="J33" s="361"/>
      <c r="K33" s="361"/>
      <c r="L33" s="361"/>
    </row>
    <row r="34" spans="2:12">
      <c r="B34" s="279">
        <v>25</v>
      </c>
      <c r="C34" s="449" t="s">
        <v>146</v>
      </c>
      <c r="D34" s="636">
        <v>0</v>
      </c>
      <c r="E34" s="636">
        <v>0</v>
      </c>
      <c r="F34" s="962">
        <v>0</v>
      </c>
      <c r="G34" s="636">
        <v>0</v>
      </c>
      <c r="H34" s="637">
        <f t="shared" si="0"/>
        <v>0</v>
      </c>
      <c r="I34" s="361"/>
      <c r="J34" s="361"/>
      <c r="K34" s="361"/>
      <c r="L34" s="361"/>
    </row>
    <row r="35" spans="2:12">
      <c r="B35" s="279">
        <v>26</v>
      </c>
      <c r="C35" s="449" t="s">
        <v>772</v>
      </c>
      <c r="D35" s="636">
        <v>8.1276000000000004E-3</v>
      </c>
      <c r="E35" s="636">
        <v>1.33305E-2</v>
      </c>
      <c r="F35" s="962">
        <v>7.6182000000000003E-3</v>
      </c>
      <c r="G35" s="636">
        <v>7.3317750000000004E-3</v>
      </c>
      <c r="H35" s="637">
        <f t="shared" si="0"/>
        <v>1.4949975000000001E-2</v>
      </c>
      <c r="I35" s="361"/>
      <c r="J35" s="361"/>
      <c r="K35" s="361"/>
      <c r="L35" s="361"/>
    </row>
    <row r="36" spans="2:12">
      <c r="B36" s="279">
        <v>27</v>
      </c>
      <c r="C36" s="449" t="s">
        <v>773</v>
      </c>
      <c r="D36" s="636">
        <v>0.16189500000000001</v>
      </c>
      <c r="E36" s="636">
        <v>8.4959999999999994E-2</v>
      </c>
      <c r="F36" s="962">
        <v>5.2932300000000002E-2</v>
      </c>
      <c r="G36" s="636">
        <v>4.6727999999999999E-2</v>
      </c>
      <c r="H36" s="637">
        <f t="shared" si="0"/>
        <v>9.9660300000000007E-2</v>
      </c>
      <c r="I36" s="361"/>
      <c r="J36" s="361"/>
      <c r="K36" s="361"/>
      <c r="L36" s="361"/>
    </row>
    <row r="37" spans="2:12">
      <c r="B37" s="279">
        <v>28</v>
      </c>
      <c r="C37" s="449"/>
      <c r="D37" s="638"/>
      <c r="E37" s="279"/>
      <c r="F37" s="279"/>
      <c r="G37" s="279"/>
      <c r="H37" s="279"/>
      <c r="I37" s="361"/>
      <c r="J37" s="361"/>
      <c r="K37" s="361"/>
      <c r="L37" s="361"/>
    </row>
    <row r="38" spans="2:12">
      <c r="B38" s="279">
        <v>29</v>
      </c>
      <c r="C38" s="450" t="s">
        <v>147</v>
      </c>
      <c r="D38" s="639">
        <f>SUM(D10:D37)</f>
        <v>1.8910859000000002</v>
      </c>
      <c r="E38" s="639">
        <f t="shared" ref="E38:H38" si="1">SUM(E10:E37)</f>
        <v>1.0945863</v>
      </c>
      <c r="F38" s="639">
        <f t="shared" si="1"/>
        <v>0.60045607368715292</v>
      </c>
      <c r="G38" s="639">
        <f t="shared" si="1"/>
        <v>0.97559870868715304</v>
      </c>
      <c r="H38" s="639">
        <f t="shared" si="1"/>
        <v>1.5760547823743059</v>
      </c>
      <c r="I38" s="361"/>
      <c r="J38" s="361"/>
      <c r="K38" s="361"/>
      <c r="L38" s="361"/>
    </row>
    <row r="39" spans="2:12">
      <c r="B39" s="279">
        <v>30</v>
      </c>
      <c r="C39" s="448" t="s">
        <v>38</v>
      </c>
      <c r="D39" s="640"/>
      <c r="E39" s="279"/>
      <c r="F39" s="279"/>
      <c r="G39" s="279"/>
      <c r="H39" s="279"/>
      <c r="I39" s="361"/>
      <c r="J39" s="361"/>
      <c r="K39" s="361"/>
      <c r="L39" s="361"/>
    </row>
    <row r="40" spans="2:12">
      <c r="B40" s="279">
        <v>31</v>
      </c>
      <c r="C40" s="290" t="s">
        <v>148</v>
      </c>
      <c r="D40" s="641">
        <f>D38-D39</f>
        <v>1.8910859000000002</v>
      </c>
      <c r="E40" s="641">
        <f t="shared" ref="E40:H40" si="2">E38-E39</f>
        <v>1.0945863</v>
      </c>
      <c r="F40" s="641">
        <f t="shared" si="2"/>
        <v>0.60045607368715292</v>
      </c>
      <c r="G40" s="641">
        <f t="shared" si="2"/>
        <v>0.97559870868715304</v>
      </c>
      <c r="H40" s="641">
        <f t="shared" si="2"/>
        <v>1.5760547823743059</v>
      </c>
      <c r="I40" s="361"/>
      <c r="J40" s="361"/>
      <c r="K40" s="361"/>
      <c r="L40" s="361"/>
    </row>
  </sheetData>
  <mergeCells count="6">
    <mergeCell ref="B7:B9"/>
    <mergeCell ref="C7:C9"/>
    <mergeCell ref="F7:H7"/>
    <mergeCell ref="B2:H2"/>
    <mergeCell ref="B3:H3"/>
    <mergeCell ref="B4:H4"/>
  </mergeCells>
  <pageMargins left="0.43307086614173229" right="0.43307086614173229" top="0.43307086614173229" bottom="0.43307086614173229" header="0.31496062992125984" footer="0.31496062992125984"/>
  <pageSetup paperSize="9" scale="83" orientation="landscape" r:id="rId1"/>
  <headerFoot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H35"/>
  <sheetViews>
    <sheetView showGridLines="0" view="pageBreakPreview" topLeftCell="A13" zoomScale="80" zoomScaleNormal="80" zoomScaleSheetLayoutView="80" workbookViewId="0">
      <selection activeCell="F13" sqref="F13"/>
    </sheetView>
  </sheetViews>
  <sheetFormatPr baseColWidth="10" defaultColWidth="9.1640625" defaultRowHeight="15"/>
  <cols>
    <col min="1" max="1" width="9.1640625" style="25"/>
    <col min="2" max="2" width="5.6640625" style="444" customWidth="1"/>
    <col min="3" max="3" width="36.5" style="25" bestFit="1" customWidth="1"/>
    <col min="4" max="4" width="14.5" style="25" customWidth="1"/>
    <col min="5" max="5" width="17.33203125" style="25" customWidth="1"/>
    <col min="6" max="6" width="12.83203125" style="25" customWidth="1"/>
    <col min="7" max="7" width="14.33203125" style="25" customWidth="1"/>
    <col min="8" max="8" width="18.33203125" style="25" customWidth="1"/>
    <col min="9" max="9" width="10.6640625" style="25" customWidth="1"/>
    <col min="10" max="10" width="12.33203125" style="25" customWidth="1"/>
    <col min="11" max="11" width="12.83203125" style="25" customWidth="1"/>
    <col min="12" max="12" width="14.5" style="25" customWidth="1"/>
    <col min="13" max="16384" width="9.1640625" style="25"/>
  </cols>
  <sheetData>
    <row r="2" spans="2:8">
      <c r="B2" s="1062" t="str">
        <f>Index!B2</f>
        <v>Jaigad Power Transco Ltd</v>
      </c>
      <c r="C2" s="1062"/>
      <c r="D2" s="1062"/>
      <c r="E2" s="1062"/>
      <c r="F2" s="1062"/>
      <c r="G2" s="1062"/>
      <c r="H2" s="1062"/>
    </row>
    <row r="3" spans="2:8">
      <c r="B3" s="1063" t="s">
        <v>186</v>
      </c>
      <c r="C3" s="1063"/>
      <c r="D3" s="1063"/>
      <c r="E3" s="1063"/>
      <c r="F3" s="1063"/>
      <c r="G3" s="1063"/>
      <c r="H3" s="1063"/>
    </row>
    <row r="4" spans="2:8">
      <c r="B4" s="1064" t="s">
        <v>648</v>
      </c>
      <c r="C4" s="1064"/>
      <c r="D4" s="1064"/>
      <c r="E4" s="1064"/>
      <c r="F4" s="1064"/>
      <c r="G4" s="1064"/>
      <c r="H4" s="1064"/>
    </row>
    <row r="5" spans="2:8">
      <c r="B5" s="297"/>
      <c r="C5" s="444"/>
      <c r="D5" s="444"/>
      <c r="E5" s="444"/>
      <c r="F5" s="444"/>
      <c r="G5" s="444"/>
      <c r="H5" s="444"/>
    </row>
    <row r="6" spans="2:8">
      <c r="B6" s="297"/>
      <c r="C6" s="444"/>
      <c r="D6" s="444"/>
      <c r="E6" s="444"/>
      <c r="H6" s="445" t="s">
        <v>33</v>
      </c>
    </row>
    <row r="7" spans="2:8" ht="16">
      <c r="B7" s="980" t="s">
        <v>226</v>
      </c>
      <c r="C7" s="985" t="s">
        <v>4</v>
      </c>
      <c r="D7" s="446" t="s">
        <v>213</v>
      </c>
      <c r="E7" s="447" t="s">
        <v>214</v>
      </c>
      <c r="F7" s="1065" t="s">
        <v>215</v>
      </c>
      <c r="G7" s="1061"/>
      <c r="H7" s="1061"/>
    </row>
    <row r="8" spans="2:8" ht="32">
      <c r="B8" s="1067"/>
      <c r="C8" s="1069"/>
      <c r="D8" s="314" t="s">
        <v>311</v>
      </c>
      <c r="E8" s="314" t="s">
        <v>311</v>
      </c>
      <c r="F8" s="314" t="s">
        <v>314</v>
      </c>
      <c r="G8" s="314" t="s">
        <v>315</v>
      </c>
      <c r="H8" s="314" t="s">
        <v>58</v>
      </c>
    </row>
    <row r="9" spans="2:8" ht="16">
      <c r="B9" s="1068"/>
      <c r="C9" s="1069"/>
      <c r="D9" s="314" t="s">
        <v>56</v>
      </c>
      <c r="E9" s="314" t="s">
        <v>57</v>
      </c>
      <c r="F9" s="314" t="s">
        <v>552</v>
      </c>
      <c r="G9" s="314" t="s">
        <v>553</v>
      </c>
      <c r="H9" s="314" t="s">
        <v>554</v>
      </c>
    </row>
    <row r="10" spans="2:8">
      <c r="B10" s="279">
        <v>1</v>
      </c>
      <c r="C10" s="449" t="s">
        <v>149</v>
      </c>
      <c r="D10" s="789">
        <f>SUM(D26:D29)</f>
        <v>1.2444071320000001</v>
      </c>
      <c r="E10" s="789">
        <f t="shared" ref="E10:G10" si="0">SUM(E26:E29)</f>
        <v>1.7708281000000001</v>
      </c>
      <c r="F10" s="789">
        <f t="shared" si="0"/>
        <v>0.54</v>
      </c>
      <c r="G10" s="789">
        <f t="shared" si="0"/>
        <v>1.28</v>
      </c>
      <c r="H10" s="790">
        <f>SUM(F10:G10)</f>
        <v>1.82</v>
      </c>
    </row>
    <row r="11" spans="2:8">
      <c r="B11" s="279">
        <f>B10+1</f>
        <v>2</v>
      </c>
      <c r="C11" s="449" t="s">
        <v>150</v>
      </c>
      <c r="D11" s="643">
        <v>3.5623246999999997E-2</v>
      </c>
      <c r="E11" s="643">
        <v>0</v>
      </c>
      <c r="F11" s="643">
        <v>0</v>
      </c>
      <c r="G11" s="643">
        <v>0</v>
      </c>
      <c r="H11" s="643">
        <v>0</v>
      </c>
    </row>
    <row r="12" spans="2:8">
      <c r="B12" s="279">
        <f t="shared" ref="B12:B21" si="1">B11+1</f>
        <v>3</v>
      </c>
      <c r="C12" s="449" t="s">
        <v>151</v>
      </c>
      <c r="D12" s="643">
        <v>0</v>
      </c>
      <c r="E12" s="643">
        <v>4.7899999999999998E-2</v>
      </c>
      <c r="F12" s="643">
        <v>0</v>
      </c>
      <c r="G12" s="643">
        <v>0</v>
      </c>
      <c r="H12" s="643">
        <v>0</v>
      </c>
    </row>
    <row r="13" spans="2:8">
      <c r="B13" s="279">
        <f t="shared" si="1"/>
        <v>4</v>
      </c>
      <c r="C13" s="449" t="s">
        <v>152</v>
      </c>
      <c r="D13" s="643">
        <v>0</v>
      </c>
      <c r="E13" s="643">
        <v>0</v>
      </c>
      <c r="F13" s="643">
        <v>0</v>
      </c>
      <c r="G13" s="643">
        <v>0</v>
      </c>
      <c r="H13" s="643">
        <v>0</v>
      </c>
    </row>
    <row r="14" spans="2:8">
      <c r="B14" s="279">
        <f t="shared" si="1"/>
        <v>5</v>
      </c>
      <c r="C14" s="449" t="s">
        <v>153</v>
      </c>
      <c r="D14" s="643">
        <v>0</v>
      </c>
      <c r="E14" s="643">
        <v>0</v>
      </c>
      <c r="F14" s="643">
        <v>0</v>
      </c>
      <c r="G14" s="643">
        <v>0</v>
      </c>
      <c r="H14" s="643">
        <v>0</v>
      </c>
    </row>
    <row r="15" spans="2:8">
      <c r="B15" s="279">
        <f t="shared" si="1"/>
        <v>6</v>
      </c>
      <c r="C15" s="449" t="s">
        <v>154</v>
      </c>
      <c r="D15" s="643">
        <v>0</v>
      </c>
      <c r="E15" s="643">
        <v>0</v>
      </c>
      <c r="F15" s="643">
        <v>0</v>
      </c>
      <c r="G15" s="643">
        <v>0</v>
      </c>
      <c r="H15" s="643">
        <v>0</v>
      </c>
    </row>
    <row r="16" spans="2:8">
      <c r="B16" s="279">
        <f t="shared" si="1"/>
        <v>7</v>
      </c>
      <c r="C16" s="449" t="s">
        <v>155</v>
      </c>
      <c r="D16" s="643">
        <v>0</v>
      </c>
      <c r="E16" s="643">
        <v>0</v>
      </c>
      <c r="F16" s="643">
        <v>0</v>
      </c>
      <c r="G16" s="643">
        <v>0</v>
      </c>
      <c r="H16" s="643">
        <v>0</v>
      </c>
    </row>
    <row r="17" spans="2:8">
      <c r="B17" s="279">
        <f t="shared" si="1"/>
        <v>8</v>
      </c>
      <c r="C17" s="449" t="s">
        <v>156</v>
      </c>
      <c r="D17" s="643">
        <v>0</v>
      </c>
      <c r="E17" s="643">
        <v>0</v>
      </c>
      <c r="F17" s="643">
        <v>0</v>
      </c>
      <c r="G17" s="643">
        <v>0</v>
      </c>
      <c r="H17" s="643">
        <v>0</v>
      </c>
    </row>
    <row r="18" spans="2:8">
      <c r="B18" s="279">
        <f t="shared" si="1"/>
        <v>9</v>
      </c>
      <c r="C18" s="449"/>
      <c r="D18" s="449"/>
      <c r="E18" s="280"/>
      <c r="F18" s="280"/>
      <c r="G18" s="280"/>
      <c r="H18" s="280"/>
    </row>
    <row r="19" spans="2:8">
      <c r="B19" s="399">
        <f t="shared" si="1"/>
        <v>10</v>
      </c>
      <c r="C19" s="450" t="s">
        <v>157</v>
      </c>
      <c r="D19" s="634">
        <f>SUM(D10:D18)</f>
        <v>1.2800303790000001</v>
      </c>
      <c r="E19" s="634">
        <f t="shared" ref="E19:H19" si="2">SUM(E10:E18)</f>
        <v>1.8187281000000002</v>
      </c>
      <c r="F19" s="634">
        <f t="shared" si="2"/>
        <v>0.54</v>
      </c>
      <c r="G19" s="634">
        <f t="shared" si="2"/>
        <v>1.28</v>
      </c>
      <c r="H19" s="634">
        <f t="shared" si="2"/>
        <v>1.82</v>
      </c>
    </row>
    <row r="20" spans="2:8">
      <c r="B20" s="279">
        <f t="shared" si="1"/>
        <v>11</v>
      </c>
      <c r="C20" s="448" t="s">
        <v>38</v>
      </c>
      <c r="D20" s="448"/>
      <c r="E20" s="280"/>
      <c r="F20" s="280"/>
      <c r="G20" s="280"/>
      <c r="H20" s="280"/>
    </row>
    <row r="21" spans="2:8">
      <c r="B21" s="399">
        <f t="shared" si="1"/>
        <v>12</v>
      </c>
      <c r="C21" s="290" t="s">
        <v>158</v>
      </c>
      <c r="D21" s="607">
        <f>D19-D20</f>
        <v>1.2800303790000001</v>
      </c>
      <c r="E21" s="607">
        <f t="shared" ref="E21:H21" si="3">E19-E20</f>
        <v>1.8187281000000002</v>
      </c>
      <c r="F21" s="607">
        <f t="shared" si="3"/>
        <v>0.54</v>
      </c>
      <c r="G21" s="607">
        <f t="shared" si="3"/>
        <v>1.28</v>
      </c>
      <c r="H21" s="607">
        <f t="shared" si="3"/>
        <v>1.82</v>
      </c>
    </row>
    <row r="23" spans="2:8" hidden="1"/>
    <row r="24" spans="2:8" hidden="1"/>
    <row r="25" spans="2:8" hidden="1">
      <c r="C25" s="450" t="s">
        <v>777</v>
      </c>
      <c r="D25" s="816"/>
      <c r="E25" s="816"/>
      <c r="F25" s="816"/>
      <c r="G25" s="816"/>
      <c r="H25" s="816"/>
    </row>
    <row r="26" spans="2:8" ht="64" hidden="1">
      <c r="C26" s="642" t="s">
        <v>774</v>
      </c>
      <c r="D26" s="817">
        <v>1.9465E-2</v>
      </c>
      <c r="E26" s="817">
        <v>0.33489999999999998</v>
      </c>
      <c r="F26" s="817">
        <v>0.1</v>
      </c>
      <c r="G26" s="817">
        <v>0.11</v>
      </c>
      <c r="H26" s="817">
        <f>F26+G26</f>
        <v>0.21000000000000002</v>
      </c>
    </row>
    <row r="27" spans="2:8" ht="32" hidden="1">
      <c r="C27" s="642" t="s">
        <v>775</v>
      </c>
      <c r="D27" s="817">
        <v>0.39145219999999997</v>
      </c>
      <c r="E27" s="817">
        <v>0.61070000000000002</v>
      </c>
      <c r="F27" s="817">
        <v>0.01</v>
      </c>
      <c r="G27" s="817">
        <v>0.3</v>
      </c>
      <c r="H27" s="817">
        <f t="shared" ref="H27:H29" si="4">F27+G27</f>
        <v>0.31</v>
      </c>
    </row>
    <row r="28" spans="2:8" ht="32" hidden="1">
      <c r="C28" s="642" t="s">
        <v>922</v>
      </c>
      <c r="D28" s="817">
        <v>0.38388858000000003</v>
      </c>
      <c r="E28" s="817">
        <v>0.39100000000000001</v>
      </c>
      <c r="F28" s="817">
        <v>0.2</v>
      </c>
      <c r="G28" s="817">
        <v>0.2</v>
      </c>
      <c r="H28" s="817">
        <f t="shared" si="4"/>
        <v>0.4</v>
      </c>
    </row>
    <row r="29" spans="2:8" ht="16" hidden="1">
      <c r="C29" s="642" t="s">
        <v>776</v>
      </c>
      <c r="D29" s="817">
        <v>0.44960135200000007</v>
      </c>
      <c r="E29" s="817">
        <v>0.43422810000000001</v>
      </c>
      <c r="F29" s="817">
        <v>0.23</v>
      </c>
      <c r="G29" s="817">
        <v>0.67</v>
      </c>
      <c r="H29" s="817">
        <f t="shared" si="4"/>
        <v>0.9</v>
      </c>
    </row>
    <row r="30" spans="2:8" hidden="1">
      <c r="C30" s="318" t="s">
        <v>23</v>
      </c>
      <c r="D30" s="630">
        <f>SUM(D26:D29)</f>
        <v>1.2444071320000001</v>
      </c>
      <c r="E30" s="630">
        <f t="shared" ref="E30:H30" si="5">SUM(E26:E29)</f>
        <v>1.7708281000000001</v>
      </c>
      <c r="F30" s="630">
        <f t="shared" si="5"/>
        <v>0.54</v>
      </c>
      <c r="G30" s="630">
        <f t="shared" si="5"/>
        <v>1.28</v>
      </c>
      <c r="H30" s="630">
        <f t="shared" si="5"/>
        <v>1.82</v>
      </c>
    </row>
    <row r="31" spans="2:8" hidden="1"/>
    <row r="32" spans="2:8" hidden="1"/>
    <row r="33" hidden="1"/>
    <row r="34" hidden="1"/>
    <row r="35" hidden="1"/>
  </sheetData>
  <mergeCells count="6">
    <mergeCell ref="B7:B9"/>
    <mergeCell ref="C7:C9"/>
    <mergeCell ref="F7:H7"/>
    <mergeCell ref="B2:H2"/>
    <mergeCell ref="B3:H3"/>
    <mergeCell ref="B4:H4"/>
  </mergeCells>
  <pageMargins left="0.43307086614173229" right="0.43307086614173229" top="0.43307086614173229" bottom="0.43307086614173229" header="0.31496062992125984" footer="0.31496062992125984"/>
  <pageSetup paperSize="9" orientation="landscape" r:id="rId1"/>
  <headerFoot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7"/>
  <sheetViews>
    <sheetView showGridLines="0" view="pageBreakPreview" zoomScale="60" zoomScaleNormal="85" workbookViewId="0"/>
  </sheetViews>
  <sheetFormatPr baseColWidth="10" defaultColWidth="9.1640625" defaultRowHeight="15"/>
  <cols>
    <col min="1" max="1" width="4.1640625" style="76" customWidth="1"/>
    <col min="2" max="2" width="6.33203125" style="76" customWidth="1"/>
    <col min="3" max="3" width="27.6640625" style="76" customWidth="1"/>
    <col min="4" max="19" width="16.5" style="76" customWidth="1"/>
    <col min="20" max="20" width="13.5" style="76" hidden="1" customWidth="1"/>
    <col min="21" max="16384" width="9.1640625" style="76"/>
  </cols>
  <sheetData>
    <row r="1" spans="1:20">
      <c r="B1" s="429"/>
    </row>
    <row r="2" spans="1:20" ht="24" customHeight="1">
      <c r="B2" s="1070" t="str">
        <f>Index!$B$2</f>
        <v>Jaigad Power Transco Ltd</v>
      </c>
      <c r="C2" s="1070"/>
      <c r="D2" s="1070"/>
      <c r="E2" s="1070"/>
      <c r="F2" s="1070"/>
      <c r="G2" s="1070"/>
      <c r="H2" s="1070"/>
      <c r="I2" s="1070"/>
      <c r="J2" s="1070"/>
      <c r="K2" s="1070"/>
      <c r="L2" s="1070"/>
      <c r="M2" s="1070"/>
      <c r="N2" s="1070"/>
      <c r="O2" s="1070"/>
      <c r="P2" s="1070"/>
      <c r="Q2" s="1070"/>
      <c r="R2" s="1070"/>
      <c r="S2" s="1070"/>
      <c r="T2" s="958"/>
    </row>
    <row r="3" spans="1:20" ht="35.25" customHeight="1">
      <c r="B3" s="1070" t="s">
        <v>186</v>
      </c>
      <c r="C3" s="1070"/>
      <c r="D3" s="1070"/>
      <c r="E3" s="1070"/>
      <c r="F3" s="1070"/>
      <c r="G3" s="1070"/>
      <c r="H3" s="1070"/>
      <c r="I3" s="1070"/>
      <c r="J3" s="1070"/>
      <c r="K3" s="1070"/>
      <c r="L3" s="1070"/>
      <c r="M3" s="1070"/>
      <c r="N3" s="1070"/>
      <c r="O3" s="1070"/>
      <c r="P3" s="1070"/>
      <c r="Q3" s="1070"/>
      <c r="R3" s="1070"/>
      <c r="S3" s="1070"/>
      <c r="T3" s="958"/>
    </row>
    <row r="4" spans="1:20" ht="51" customHeight="1">
      <c r="B4" s="1070" t="s">
        <v>518</v>
      </c>
      <c r="C4" s="1070"/>
      <c r="D4" s="439"/>
      <c r="E4" s="439"/>
      <c r="F4" s="439"/>
      <c r="G4" s="439"/>
      <c r="H4" s="439"/>
      <c r="I4" s="439"/>
      <c r="J4" s="439"/>
      <c r="K4" s="439"/>
      <c r="L4" s="439"/>
      <c r="M4" s="439"/>
      <c r="N4" s="439"/>
      <c r="O4" s="439"/>
      <c r="P4" s="439"/>
      <c r="Q4" s="439"/>
      <c r="R4" s="439"/>
      <c r="S4" s="439"/>
      <c r="T4" s="439"/>
    </row>
    <row r="5" spans="1:20">
      <c r="B5" s="78"/>
      <c r="C5" s="430"/>
      <c r="D5" s="430"/>
      <c r="E5" s="430"/>
      <c r="F5" s="430"/>
      <c r="G5" s="430"/>
      <c r="H5" s="430"/>
      <c r="I5" s="430"/>
      <c r="J5" s="430"/>
      <c r="K5" s="430"/>
      <c r="L5" s="430"/>
      <c r="M5" s="430"/>
      <c r="N5" s="430"/>
      <c r="O5" s="430"/>
    </row>
    <row r="6" spans="1:20">
      <c r="S6" s="431" t="s">
        <v>33</v>
      </c>
    </row>
    <row r="7" spans="1:20" s="298" customFormat="1">
      <c r="B7" s="1071" t="s">
        <v>226</v>
      </c>
      <c r="C7" s="1074" t="s">
        <v>4</v>
      </c>
      <c r="D7" s="987" t="s">
        <v>213</v>
      </c>
      <c r="E7" s="988"/>
      <c r="F7" s="989"/>
      <c r="G7" s="987" t="s">
        <v>214</v>
      </c>
      <c r="H7" s="988"/>
      <c r="I7" s="989"/>
      <c r="J7" s="987" t="s">
        <v>215</v>
      </c>
      <c r="K7" s="988"/>
      <c r="L7" s="988"/>
      <c r="M7" s="988"/>
      <c r="N7" s="989"/>
      <c r="O7" s="978" t="s">
        <v>78</v>
      </c>
      <c r="P7" s="978"/>
      <c r="Q7" s="978"/>
      <c r="R7" s="978"/>
      <c r="S7" s="978"/>
      <c r="T7" s="978" t="s">
        <v>37</v>
      </c>
    </row>
    <row r="8" spans="1:20" s="298" customFormat="1" ht="38.25" customHeight="1">
      <c r="B8" s="1072"/>
      <c r="C8" s="1074"/>
      <c r="D8" s="362" t="s">
        <v>313</v>
      </c>
      <c r="E8" s="362" t="s">
        <v>311</v>
      </c>
      <c r="F8" s="362" t="s">
        <v>312</v>
      </c>
      <c r="G8" s="362" t="s">
        <v>313</v>
      </c>
      <c r="H8" s="362" t="s">
        <v>311</v>
      </c>
      <c r="I8" s="362" t="s">
        <v>312</v>
      </c>
      <c r="J8" s="362" t="s">
        <v>313</v>
      </c>
      <c r="K8" s="362" t="s">
        <v>314</v>
      </c>
      <c r="L8" s="362" t="s">
        <v>315</v>
      </c>
      <c r="M8" s="362" t="s">
        <v>58</v>
      </c>
      <c r="N8" s="362" t="s">
        <v>316</v>
      </c>
      <c r="O8" s="362" t="s">
        <v>540</v>
      </c>
      <c r="P8" s="362" t="s">
        <v>541</v>
      </c>
      <c r="Q8" s="362" t="s">
        <v>542</v>
      </c>
      <c r="R8" s="362" t="s">
        <v>543</v>
      </c>
      <c r="S8" s="362" t="s">
        <v>544</v>
      </c>
      <c r="T8" s="978"/>
    </row>
    <row r="9" spans="1:20" s="298" customFormat="1" ht="16">
      <c r="B9" s="1073"/>
      <c r="C9" s="1075"/>
      <c r="D9" s="362" t="s">
        <v>56</v>
      </c>
      <c r="E9" s="362" t="s">
        <v>57</v>
      </c>
      <c r="F9" s="362" t="s">
        <v>317</v>
      </c>
      <c r="G9" s="362" t="s">
        <v>318</v>
      </c>
      <c r="H9" s="362" t="s">
        <v>319</v>
      </c>
      <c r="I9" s="362" t="s">
        <v>545</v>
      </c>
      <c r="J9" s="362" t="s">
        <v>546</v>
      </c>
      <c r="K9" s="362" t="s">
        <v>547</v>
      </c>
      <c r="L9" s="362" t="s">
        <v>548</v>
      </c>
      <c r="M9" s="362" t="s">
        <v>549</v>
      </c>
      <c r="N9" s="362" t="s">
        <v>550</v>
      </c>
      <c r="O9" s="362" t="s">
        <v>86</v>
      </c>
      <c r="P9" s="362" t="s">
        <v>86</v>
      </c>
      <c r="Q9" s="362" t="s">
        <v>86</v>
      </c>
      <c r="R9" s="362" t="s">
        <v>86</v>
      </c>
      <c r="S9" s="362" t="s">
        <v>86</v>
      </c>
      <c r="T9" s="979"/>
    </row>
    <row r="10" spans="1:20" s="644" customFormat="1">
      <c r="A10" s="435"/>
      <c r="B10" s="432">
        <v>1</v>
      </c>
      <c r="C10" s="433" t="s">
        <v>53</v>
      </c>
      <c r="D10" s="437">
        <v>0.5</v>
      </c>
      <c r="E10" s="645">
        <f>E14</f>
        <v>0.45556739999999996</v>
      </c>
      <c r="F10" s="437">
        <f>E10-D10</f>
        <v>-4.4432600000000044E-2</v>
      </c>
      <c r="G10" s="647">
        <f>G12</f>
        <v>0</v>
      </c>
      <c r="H10" s="645">
        <f>H14</f>
        <v>1.189E-3</v>
      </c>
      <c r="I10" s="437">
        <f>H10-G10</f>
        <v>1.189E-3</v>
      </c>
      <c r="J10" s="647">
        <v>2.77</v>
      </c>
      <c r="K10" s="645">
        <f>K14</f>
        <v>0</v>
      </c>
      <c r="L10" s="645">
        <f>L14</f>
        <v>6.0000000000000005E-2</v>
      </c>
      <c r="M10" s="648">
        <f>K10+L10</f>
        <v>6.0000000000000005E-2</v>
      </c>
      <c r="N10" s="648">
        <f>M10-J10</f>
        <v>-2.71</v>
      </c>
      <c r="O10" s="645">
        <v>2.0699999999999998</v>
      </c>
      <c r="P10" s="645">
        <f t="shared" ref="P10:S10" si="0">P14</f>
        <v>0.02</v>
      </c>
      <c r="Q10" s="645">
        <f t="shared" si="0"/>
        <v>0.02</v>
      </c>
      <c r="R10" s="645">
        <f t="shared" si="0"/>
        <v>0.02</v>
      </c>
      <c r="S10" s="645">
        <f t="shared" si="0"/>
        <v>0.02</v>
      </c>
      <c r="T10" s="434"/>
    </row>
    <row r="11" spans="1:20" s="644" customFormat="1">
      <c r="A11" s="435"/>
      <c r="B11" s="432"/>
      <c r="C11" s="433"/>
      <c r="D11" s="645"/>
      <c r="E11" s="645"/>
      <c r="F11" s="437"/>
      <c r="G11" s="646"/>
      <c r="H11" s="647"/>
      <c r="I11" s="437"/>
      <c r="J11" s="647"/>
      <c r="K11" s="648"/>
      <c r="L11" s="648"/>
      <c r="M11" s="648"/>
      <c r="N11" s="648"/>
      <c r="O11" s="648"/>
      <c r="P11" s="648"/>
      <c r="Q11" s="648"/>
      <c r="R11" s="648"/>
      <c r="S11" s="648"/>
      <c r="T11" s="434"/>
    </row>
    <row r="12" spans="1:20" s="644" customFormat="1">
      <c r="A12" s="435"/>
      <c r="B12" s="432">
        <f>B10+1</f>
        <v>2</v>
      </c>
      <c r="C12" s="436" t="s">
        <v>81</v>
      </c>
      <c r="D12" s="437">
        <v>0.5</v>
      </c>
      <c r="E12" s="649">
        <f>'F4'!E22</f>
        <v>0.45556739999999996</v>
      </c>
      <c r="F12" s="437">
        <f>E12-D12</f>
        <v>-4.4432600000000044E-2</v>
      </c>
      <c r="G12" s="646">
        <v>0</v>
      </c>
      <c r="H12" s="437">
        <f>'F4'!J22</f>
        <v>1.189E-3</v>
      </c>
      <c r="I12" s="437">
        <f>H12-G12</f>
        <v>1.189E-3</v>
      </c>
      <c r="J12" s="647">
        <v>2.77</v>
      </c>
      <c r="K12" s="437">
        <v>0</v>
      </c>
      <c r="L12" s="437">
        <f>'F4'!O22</f>
        <v>6.0000000000000005E-2</v>
      </c>
      <c r="M12" s="648">
        <f>'F4'!O22</f>
        <v>6.0000000000000005E-2</v>
      </c>
      <c r="N12" s="648">
        <f>M12-J12</f>
        <v>-2.71</v>
      </c>
      <c r="O12" s="437">
        <f>'F4'!T22</f>
        <v>2.77</v>
      </c>
      <c r="P12" s="437">
        <f>'F4'!E38</f>
        <v>0.02</v>
      </c>
      <c r="Q12" s="437">
        <f>'F4'!J38</f>
        <v>0.02</v>
      </c>
      <c r="R12" s="437">
        <f>'F4'!O38</f>
        <v>0.02</v>
      </c>
      <c r="S12" s="437">
        <f>'F4'!T38</f>
        <v>0.02</v>
      </c>
      <c r="T12" s="434"/>
    </row>
    <row r="13" spans="1:20" s="644" customFormat="1">
      <c r="A13" s="435"/>
      <c r="B13" s="432">
        <f t="shared" ref="B13:B14" si="1">B12+1</f>
        <v>3</v>
      </c>
      <c r="C13" s="436" t="s">
        <v>467</v>
      </c>
      <c r="D13" s="437"/>
      <c r="E13" s="437"/>
      <c r="F13" s="437"/>
      <c r="G13" s="646"/>
      <c r="H13" s="437"/>
      <c r="I13" s="646"/>
      <c r="J13" s="646"/>
      <c r="K13" s="437"/>
      <c r="L13" s="437"/>
      <c r="M13" s="437"/>
      <c r="N13" s="646"/>
      <c r="O13" s="437"/>
      <c r="P13" s="437"/>
      <c r="Q13" s="437"/>
      <c r="R13" s="437"/>
      <c r="S13" s="437"/>
      <c r="T13" s="434"/>
    </row>
    <row r="14" spans="1:20" s="652" customFormat="1">
      <c r="A14" s="438"/>
      <c r="B14" s="432">
        <f t="shared" si="1"/>
        <v>4</v>
      </c>
      <c r="C14" s="694" t="s">
        <v>517</v>
      </c>
      <c r="D14" s="650">
        <f>D12+D13</f>
        <v>0.5</v>
      </c>
      <c r="E14" s="650">
        <f t="shared" ref="E14:S14" si="2">E12+E13</f>
        <v>0.45556739999999996</v>
      </c>
      <c r="F14" s="650">
        <f t="shared" si="2"/>
        <v>-4.4432600000000044E-2</v>
      </c>
      <c r="G14" s="650">
        <f t="shared" si="2"/>
        <v>0</v>
      </c>
      <c r="H14" s="650">
        <f t="shared" si="2"/>
        <v>1.189E-3</v>
      </c>
      <c r="I14" s="650">
        <f t="shared" si="2"/>
        <v>1.189E-3</v>
      </c>
      <c r="J14" s="650">
        <f t="shared" si="2"/>
        <v>2.77</v>
      </c>
      <c r="K14" s="650">
        <f t="shared" si="2"/>
        <v>0</v>
      </c>
      <c r="L14" s="650">
        <f t="shared" si="2"/>
        <v>6.0000000000000005E-2</v>
      </c>
      <c r="M14" s="650">
        <f t="shared" si="2"/>
        <v>6.0000000000000005E-2</v>
      </c>
      <c r="N14" s="650">
        <f t="shared" si="2"/>
        <v>-2.71</v>
      </c>
      <c r="O14" s="650">
        <f t="shared" si="2"/>
        <v>2.77</v>
      </c>
      <c r="P14" s="650">
        <f t="shared" si="2"/>
        <v>0.02</v>
      </c>
      <c r="Q14" s="650">
        <f t="shared" si="2"/>
        <v>0.02</v>
      </c>
      <c r="R14" s="650">
        <f t="shared" si="2"/>
        <v>0.02</v>
      </c>
      <c r="S14" s="650">
        <f t="shared" si="2"/>
        <v>0.02</v>
      </c>
      <c r="T14" s="651"/>
    </row>
    <row r="15" spans="1:20" s="439" customFormat="1">
      <c r="B15" s="440"/>
      <c r="C15" s="441"/>
      <c r="D15" s="441"/>
      <c r="E15" s="441"/>
      <c r="F15" s="441"/>
      <c r="G15" s="442"/>
      <c r="H15" s="443"/>
      <c r="I15" s="443"/>
      <c r="J15" s="443"/>
      <c r="K15" s="443"/>
      <c r="L15" s="443"/>
      <c r="M15" s="443"/>
      <c r="N15" s="443"/>
      <c r="O15" s="443"/>
    </row>
    <row r="16" spans="1:20" s="299" customFormat="1">
      <c r="A16" s="76"/>
      <c r="B16" s="298"/>
      <c r="K16" s="76"/>
      <c r="L16" s="76"/>
      <c r="M16" s="76"/>
      <c r="N16" s="76"/>
      <c r="O16" s="76"/>
    </row>
    <row r="17" spans="1:15" s="299" customFormat="1">
      <c r="A17" s="76"/>
      <c r="B17" s="298"/>
      <c r="K17" s="76"/>
      <c r="L17" s="76"/>
      <c r="M17" s="76"/>
      <c r="N17" s="76"/>
      <c r="O17" s="76"/>
    </row>
  </sheetData>
  <mergeCells count="26">
    <mergeCell ref="L2:M2"/>
    <mergeCell ref="N2:O2"/>
    <mergeCell ref="P2:Q2"/>
    <mergeCell ref="R2:S2"/>
    <mergeCell ref="B3:C3"/>
    <mergeCell ref="D3:E3"/>
    <mergeCell ref="F3:G3"/>
    <mergeCell ref="H3:I3"/>
    <mergeCell ref="J3:K3"/>
    <mergeCell ref="L3:M3"/>
    <mergeCell ref="N3:O3"/>
    <mergeCell ref="P3:Q3"/>
    <mergeCell ref="R3:S3"/>
    <mergeCell ref="J2:K2"/>
    <mergeCell ref="T7:T9"/>
    <mergeCell ref="B7:B9"/>
    <mergeCell ref="C7:C9"/>
    <mergeCell ref="G7:I7"/>
    <mergeCell ref="J7:N7"/>
    <mergeCell ref="D7:F7"/>
    <mergeCell ref="O7:S7"/>
    <mergeCell ref="B4:C4"/>
    <mergeCell ref="B2:C2"/>
    <mergeCell ref="D2:E2"/>
    <mergeCell ref="F2:G2"/>
    <mergeCell ref="H2:I2"/>
  </mergeCells>
  <pageMargins left="0.43307086614173229" right="0.43307086614173229" top="0.43307086614173229" bottom="0.43307086614173229" header="0.31496062992125984" footer="0.31496062992125984"/>
  <pageSetup paperSize="9" scale="68" fitToWidth="2" fitToHeight="2" orientation="landscape" r:id="rId1"/>
  <headerFooter>
    <oddFooter>&amp;CPage. &amp;P</oddFooter>
  </headerFooter>
  <colBreaks count="2" manualBreakCount="2">
    <brk id="11" max="13" man="1"/>
    <brk id="19"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42</vt:i4>
      </vt:variant>
      <vt:variant>
        <vt:lpstr>Named Ranges</vt:lpstr>
      </vt:variant>
      <vt:variant>
        <vt:i4>40</vt:i4>
      </vt:variant>
    </vt:vector>
  </HeadingPairs>
  <TitlesOfParts>
    <vt:vector size="82" baseType="lpstr">
      <vt:lpstr>Index</vt:lpstr>
      <vt:lpstr>F1 </vt:lpstr>
      <vt:lpstr>F2</vt:lpstr>
      <vt:lpstr>F2.1 </vt:lpstr>
      <vt:lpstr>F2.2</vt:lpstr>
      <vt:lpstr>F2.3</vt:lpstr>
      <vt:lpstr>F2.4</vt:lpstr>
      <vt:lpstr>F2.5</vt:lpstr>
      <vt:lpstr>F3</vt:lpstr>
      <vt:lpstr>F3.1</vt:lpstr>
      <vt:lpstr>F3.2</vt:lpstr>
      <vt:lpstr>F3.3</vt:lpstr>
      <vt:lpstr>F4</vt:lpstr>
      <vt:lpstr>F5</vt:lpstr>
      <vt:lpstr>F6</vt:lpstr>
      <vt:lpstr>F7</vt:lpstr>
      <vt:lpstr>F8</vt:lpstr>
      <vt:lpstr>F9</vt:lpstr>
      <vt:lpstr>F10</vt:lpstr>
      <vt:lpstr>F11</vt:lpstr>
      <vt:lpstr>F12</vt:lpstr>
      <vt:lpstr>F13</vt:lpstr>
      <vt:lpstr>F14.1</vt:lpstr>
      <vt:lpstr>F14.2</vt:lpstr>
      <vt:lpstr>F14.3</vt:lpstr>
      <vt:lpstr>F14.4</vt:lpstr>
      <vt:lpstr>F14.5</vt:lpstr>
      <vt:lpstr>F14.6</vt:lpstr>
      <vt:lpstr>F 14.7</vt:lpstr>
      <vt:lpstr>F14.8</vt:lpstr>
      <vt:lpstr>F14.9</vt:lpstr>
      <vt:lpstr>F15</vt:lpstr>
      <vt:lpstr>Revenue</vt:lpstr>
      <vt:lpstr>Capitalisaiton</vt:lpstr>
      <vt:lpstr>Refinancing</vt:lpstr>
      <vt:lpstr>Rate-W.cap</vt:lpstr>
      <vt:lpstr>G Sec Investment</vt:lpstr>
      <vt:lpstr>DPC</vt:lpstr>
      <vt:lpstr>Gap</vt:lpstr>
      <vt:lpstr>Income Tax</vt:lpstr>
      <vt:lpstr>Incentive</vt:lpstr>
      <vt:lpstr>Sharing</vt:lpstr>
      <vt:lpstr>'F 14.7'!Print_Area</vt:lpstr>
      <vt:lpstr>'F1 '!Print_Area</vt:lpstr>
      <vt:lpstr>'F10'!Print_Area</vt:lpstr>
      <vt:lpstr>'F11'!Print_Area</vt:lpstr>
      <vt:lpstr>'F12'!Print_Area</vt:lpstr>
      <vt:lpstr>'F13'!Print_Area</vt:lpstr>
      <vt:lpstr>F14.2!Print_Area</vt:lpstr>
      <vt:lpstr>F14.3!Print_Area</vt:lpstr>
      <vt:lpstr>F14.6!Print_Area</vt:lpstr>
      <vt:lpstr>F14.9!Print_Area</vt:lpstr>
      <vt:lpstr>'F15'!Print_Area</vt:lpstr>
      <vt:lpstr>'F2'!Print_Area</vt:lpstr>
      <vt:lpstr>'F2.1 '!Print_Area</vt:lpstr>
      <vt:lpstr>F2.2!Print_Area</vt:lpstr>
      <vt:lpstr>F2.3!Print_Area</vt:lpstr>
      <vt:lpstr>F2.4!Print_Area</vt:lpstr>
      <vt:lpstr>F2.5!Print_Area</vt:lpstr>
      <vt:lpstr>'F3'!Print_Area</vt:lpstr>
      <vt:lpstr>F3.1!Print_Area</vt:lpstr>
      <vt:lpstr>F3.2!Print_Area</vt:lpstr>
      <vt:lpstr>F3.3!Print_Area</vt:lpstr>
      <vt:lpstr>'F4'!Print_Area</vt:lpstr>
      <vt:lpstr>'F5'!Print_Area</vt:lpstr>
      <vt:lpstr>'F6'!Print_Area</vt:lpstr>
      <vt:lpstr>'F7'!Print_Area</vt:lpstr>
      <vt:lpstr>'F8'!Print_Area</vt:lpstr>
      <vt:lpstr>'F9'!Print_Area</vt:lpstr>
      <vt:lpstr>'F1 '!Print_Titles</vt:lpstr>
      <vt:lpstr>'F10'!Print_Titles</vt:lpstr>
      <vt:lpstr>'F11'!Print_Titles</vt:lpstr>
      <vt:lpstr>'F13'!Print_Titles</vt:lpstr>
      <vt:lpstr>'F15'!Print_Titles</vt:lpstr>
      <vt:lpstr>'F2'!Print_Titles</vt:lpstr>
      <vt:lpstr>'F2.1 '!Print_Titles</vt:lpstr>
      <vt:lpstr>F2.3!Print_Titles</vt:lpstr>
      <vt:lpstr>'F3'!Print_Titles</vt:lpstr>
      <vt:lpstr>F3.2!Print_Titles</vt:lpstr>
      <vt:lpstr>'F4'!Print_Titles</vt:lpstr>
      <vt:lpstr>'F5'!Print_Titles</vt:lpstr>
      <vt:lpstr>'F8'!Print_Titles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Palaniappan M</dc:creator>
  <cp:lastModifiedBy>Microsoft Office User</cp:lastModifiedBy>
  <cp:lastPrinted>2019-11-27T05:46:55Z</cp:lastPrinted>
  <dcterms:created xsi:type="dcterms:W3CDTF">2004-07-28T05:30:50Z</dcterms:created>
  <dcterms:modified xsi:type="dcterms:W3CDTF">2019-12-06T11:19:43Z</dcterms:modified>
</cp:coreProperties>
</file>